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firstSheet="6" activeTab="9"/>
  </bookViews>
  <sheets>
    <sheet name="ปร.6" sheetId="5" r:id="rId1"/>
    <sheet name="ปร.5(ก)" sheetId="1" r:id="rId2"/>
    <sheet name="ปร.5(ข)" sheetId="3" r:id="rId3"/>
    <sheet name="ปร.4 (รื้อถอน)" sheetId="15" r:id="rId4"/>
    <sheet name="ปร.4 (โครงสร้าง)" sheetId="16" r:id="rId5"/>
    <sheet name="ปร.4 (สถาปัต)" sheetId="17" r:id="rId6"/>
    <sheet name="ปร.4 (สุขาภิบาล)" sheetId="18" r:id="rId7"/>
    <sheet name="ปร.4 (งานระบบไฟฟ้า)" sheetId="19" r:id="rId8"/>
    <sheet name="ปร.4 (งานปรับอากาศ)" sheetId="20" r:id="rId9"/>
    <sheet name="ปร.4 (ครุภัณฑ์)" sheetId="21" r:id="rId10"/>
    <sheet name="ปร.1.1" sheetId="8" state="hidden" r:id="rId11"/>
    <sheet name="ปร1(1)" sheetId="14" state="hidden" r:id="rId12"/>
    <sheet name="ปร.1(2)" sheetId="9" state="hidden" r:id="rId13"/>
    <sheet name="Factor F" sheetId="6" state="hidden" r:id="rId14"/>
    <sheet name="ประตู" sheetId="12" state="hidden" r:id="rId15"/>
    <sheet name="ผนัง" sheetId="13" state="hidden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f4" localSheetId="4">#REF!</definedName>
    <definedName name="_f4" localSheetId="9">#REF!</definedName>
    <definedName name="_f4" localSheetId="8">#REF!</definedName>
    <definedName name="_f4" localSheetId="7">#REF!</definedName>
    <definedName name="_f4" localSheetId="3">#REF!</definedName>
    <definedName name="_f4" localSheetId="5">#REF!</definedName>
    <definedName name="_f4" localSheetId="6">#REF!</definedName>
    <definedName name="_f4" localSheetId="15">#REF!</definedName>
    <definedName name="_f4">#REF!</definedName>
    <definedName name="_xlnm._FilterDatabase" localSheetId="4" hidden="1">'ปร.4 (โครงสร้าง)'!$E$1:$E$745</definedName>
    <definedName name="_xlnm._FilterDatabase" localSheetId="9" hidden="1">'ปร.4 (ครุภัณฑ์)'!$E$1:$E$33</definedName>
    <definedName name="_xlnm._FilterDatabase" localSheetId="8" hidden="1">'ปร.4 (งานปรับอากาศ)'!$E$1:$E$127</definedName>
    <definedName name="_xlnm._FilterDatabase" localSheetId="7" hidden="1">'ปร.4 (งานระบบไฟฟ้า)'!$E$1:$E$139</definedName>
    <definedName name="_xlnm._FilterDatabase" localSheetId="3" hidden="1">'ปร.4 (รื้อถอน)'!$E$1:$E$59</definedName>
    <definedName name="_xlnm._FilterDatabase" localSheetId="5" hidden="1">'ปร.4 (สถาปัต)'!$E$1:$E$237</definedName>
    <definedName name="_xlnm._FilterDatabase" localSheetId="6" hidden="1">'ปร.4 (สุขาภิบาล)'!$E$1:$E$126</definedName>
    <definedName name="_lc1" localSheetId="4">#REF!</definedName>
    <definedName name="_lc1" localSheetId="9">#REF!</definedName>
    <definedName name="_lc1" localSheetId="8">#REF!</definedName>
    <definedName name="_lc1" localSheetId="7">#REF!</definedName>
    <definedName name="_lc1" localSheetId="3">#REF!</definedName>
    <definedName name="_lc1" localSheetId="5">#REF!</definedName>
    <definedName name="_lc1" localSheetId="6">#REF!</definedName>
    <definedName name="_lc1" localSheetId="15">#REF!</definedName>
    <definedName name="_lc1">#REF!</definedName>
    <definedName name="_lc2" localSheetId="4">#REF!</definedName>
    <definedName name="_lc2" localSheetId="9">#REF!</definedName>
    <definedName name="_lc2" localSheetId="8">#REF!</definedName>
    <definedName name="_lc2" localSheetId="7">#REF!</definedName>
    <definedName name="_lc2" localSheetId="3">#REF!</definedName>
    <definedName name="_lc2" localSheetId="5">#REF!</definedName>
    <definedName name="_lc2" localSheetId="6">#REF!</definedName>
    <definedName name="_lc2" localSheetId="15">#REF!</definedName>
    <definedName name="_lc2">#REF!</definedName>
    <definedName name="_lc3" localSheetId="4">#REF!</definedName>
    <definedName name="_lc3" localSheetId="9">#REF!</definedName>
    <definedName name="_lc3" localSheetId="8">#REF!</definedName>
    <definedName name="_lc3" localSheetId="7">#REF!</definedName>
    <definedName name="_lc3" localSheetId="3">#REF!</definedName>
    <definedName name="_lc3" localSheetId="5">#REF!</definedName>
    <definedName name="_lc3" localSheetId="6">#REF!</definedName>
    <definedName name="_lc3">#REF!</definedName>
    <definedName name="_lc4" localSheetId="4">#REF!</definedName>
    <definedName name="_lc4" localSheetId="9">#REF!</definedName>
    <definedName name="_lc4" localSheetId="8">#REF!</definedName>
    <definedName name="_lc4" localSheetId="7">#REF!</definedName>
    <definedName name="_lc4" localSheetId="3">#REF!</definedName>
    <definedName name="_lc4" localSheetId="5">#REF!</definedName>
    <definedName name="_lc4" localSheetId="6">#REF!</definedName>
    <definedName name="_lc4">#REF!</definedName>
    <definedName name="_Vc1" localSheetId="4">#REF!</definedName>
    <definedName name="_Vc1" localSheetId="9">#REF!</definedName>
    <definedName name="_Vc1" localSheetId="8">#REF!</definedName>
    <definedName name="_Vc1" localSheetId="7">#REF!</definedName>
    <definedName name="_Vc1" localSheetId="3">#REF!</definedName>
    <definedName name="_Vc1" localSheetId="5">#REF!</definedName>
    <definedName name="_Vc1" localSheetId="6">#REF!</definedName>
    <definedName name="_Vc1">#REF!</definedName>
    <definedName name="_Vc2" localSheetId="4">#REF!</definedName>
    <definedName name="_Vc2" localSheetId="9">#REF!</definedName>
    <definedName name="_Vc2" localSheetId="8">#REF!</definedName>
    <definedName name="_Vc2" localSheetId="7">#REF!</definedName>
    <definedName name="_Vc2" localSheetId="3">#REF!</definedName>
    <definedName name="_Vc2" localSheetId="5">#REF!</definedName>
    <definedName name="_Vc2" localSheetId="6">#REF!</definedName>
    <definedName name="_Vc2">#REF!</definedName>
    <definedName name="_Vc3" localSheetId="4">#REF!</definedName>
    <definedName name="_Vc3" localSheetId="9">#REF!</definedName>
    <definedName name="_Vc3" localSheetId="8">#REF!</definedName>
    <definedName name="_Vc3" localSheetId="7">#REF!</definedName>
    <definedName name="_Vc3" localSheetId="3">#REF!</definedName>
    <definedName name="_Vc3" localSheetId="5">#REF!</definedName>
    <definedName name="_Vc3" localSheetId="6">#REF!</definedName>
    <definedName name="_Vc3">#REF!</definedName>
    <definedName name="_Vc4" localSheetId="4">#REF!</definedName>
    <definedName name="_Vc4" localSheetId="9">#REF!</definedName>
    <definedName name="_Vc4" localSheetId="8">#REF!</definedName>
    <definedName name="_Vc4" localSheetId="7">#REF!</definedName>
    <definedName name="_Vc4" localSheetId="3">#REF!</definedName>
    <definedName name="_Vc4" localSheetId="5">#REF!</definedName>
    <definedName name="_Vc4" localSheetId="6">#REF!</definedName>
    <definedName name="_Vc4">#REF!</definedName>
    <definedName name="_Vc5" localSheetId="4">#REF!</definedName>
    <definedName name="_Vc5" localSheetId="9">#REF!</definedName>
    <definedName name="_Vc5" localSheetId="8">#REF!</definedName>
    <definedName name="_Vc5" localSheetId="7">#REF!</definedName>
    <definedName name="_Vc5" localSheetId="3">#REF!</definedName>
    <definedName name="_Vc5" localSheetId="5">#REF!</definedName>
    <definedName name="_Vc5" localSheetId="6">#REF!</definedName>
    <definedName name="_Vc5">#REF!</definedName>
    <definedName name="_Vc6" localSheetId="4">#REF!</definedName>
    <definedName name="_Vc6" localSheetId="9">#REF!</definedName>
    <definedName name="_Vc6" localSheetId="8">#REF!</definedName>
    <definedName name="_Vc6" localSheetId="7">#REF!</definedName>
    <definedName name="_Vc6" localSheetId="3">#REF!</definedName>
    <definedName name="_Vc6" localSheetId="5">#REF!</definedName>
    <definedName name="_Vc6" localSheetId="6">#REF!</definedName>
    <definedName name="_Vc6">#REF!</definedName>
    <definedName name="_Ve1" localSheetId="4">#REF!</definedName>
    <definedName name="_Ve1" localSheetId="9">#REF!</definedName>
    <definedName name="_Ve1" localSheetId="8">#REF!</definedName>
    <definedName name="_Ve1" localSheetId="7">#REF!</definedName>
    <definedName name="_Ve1" localSheetId="3">#REF!</definedName>
    <definedName name="_Ve1" localSheetId="5">#REF!</definedName>
    <definedName name="_Ve1" localSheetId="6">#REF!</definedName>
    <definedName name="_Ve1">#REF!</definedName>
    <definedName name="_Ve2" localSheetId="4">#REF!</definedName>
    <definedName name="_Ve2" localSheetId="9">#REF!</definedName>
    <definedName name="_Ve2" localSheetId="8">#REF!</definedName>
    <definedName name="_Ve2" localSheetId="7">#REF!</definedName>
    <definedName name="_Ve2" localSheetId="3">#REF!</definedName>
    <definedName name="_Ve2" localSheetId="5">#REF!</definedName>
    <definedName name="_Ve2" localSheetId="6">#REF!</definedName>
    <definedName name="_Ve2">#REF!</definedName>
    <definedName name="_Ve3" localSheetId="4">#REF!</definedName>
    <definedName name="_Ve3" localSheetId="9">#REF!</definedName>
    <definedName name="_Ve3" localSheetId="8">#REF!</definedName>
    <definedName name="_Ve3" localSheetId="7">#REF!</definedName>
    <definedName name="_Ve3" localSheetId="3">#REF!</definedName>
    <definedName name="_Ve3" localSheetId="5">#REF!</definedName>
    <definedName name="_Ve3" localSheetId="6">#REF!</definedName>
    <definedName name="_Ve3">#REF!</definedName>
    <definedName name="_Ve4" localSheetId="4">#REF!</definedName>
    <definedName name="_Ve4" localSheetId="9">#REF!</definedName>
    <definedName name="_Ve4" localSheetId="8">#REF!</definedName>
    <definedName name="_Ve4" localSheetId="7">#REF!</definedName>
    <definedName name="_Ve4" localSheetId="3">#REF!</definedName>
    <definedName name="_Ve4" localSheetId="5">#REF!</definedName>
    <definedName name="_Ve4" localSheetId="6">#REF!</definedName>
    <definedName name="_Ve4">#REF!</definedName>
    <definedName name="_Ve5" localSheetId="4">#REF!</definedName>
    <definedName name="_Ve5" localSheetId="9">#REF!</definedName>
    <definedName name="_Ve5" localSheetId="8">#REF!</definedName>
    <definedName name="_Ve5" localSheetId="7">#REF!</definedName>
    <definedName name="_Ve5" localSheetId="3">#REF!</definedName>
    <definedName name="_Ve5" localSheetId="5">#REF!</definedName>
    <definedName name="_Ve5" localSheetId="6">#REF!</definedName>
    <definedName name="_Ve5">#REF!</definedName>
    <definedName name="conlin" localSheetId="4">#REF!</definedName>
    <definedName name="conlin" localSheetId="9">#REF!</definedName>
    <definedName name="conlin" localSheetId="8">#REF!</definedName>
    <definedName name="conlin" localSheetId="7">#REF!</definedName>
    <definedName name="conlin" localSheetId="3">#REF!</definedName>
    <definedName name="conlin" localSheetId="5">#REF!</definedName>
    <definedName name="conlin" localSheetId="6">#REF!</definedName>
    <definedName name="conlin">#REF!</definedName>
    <definedName name="conline" localSheetId="4">#REF!</definedName>
    <definedName name="conline" localSheetId="9">#REF!</definedName>
    <definedName name="conline" localSheetId="8">#REF!</definedName>
    <definedName name="conline" localSheetId="7">#REF!</definedName>
    <definedName name="conline" localSheetId="3">#REF!</definedName>
    <definedName name="conline" localSheetId="5">#REF!</definedName>
    <definedName name="conline" localSheetId="6">#REF!</definedName>
    <definedName name="conline">#REF!</definedName>
    <definedName name="constru" localSheetId="4">#REF!</definedName>
    <definedName name="constru" localSheetId="9">#REF!</definedName>
    <definedName name="constru" localSheetId="8">#REF!</definedName>
    <definedName name="constru" localSheetId="7">#REF!</definedName>
    <definedName name="constru" localSheetId="3">#REF!</definedName>
    <definedName name="constru" localSheetId="5">#REF!</definedName>
    <definedName name="constru" localSheetId="6">#REF!</definedName>
    <definedName name="constru">#REF!</definedName>
    <definedName name="constu" localSheetId="4">#REF!</definedName>
    <definedName name="constu" localSheetId="9">#REF!</definedName>
    <definedName name="constu" localSheetId="8">#REF!</definedName>
    <definedName name="constu" localSheetId="7">#REF!</definedName>
    <definedName name="constu" localSheetId="3">#REF!</definedName>
    <definedName name="constu" localSheetId="5">#REF!</definedName>
    <definedName name="constu" localSheetId="6">#REF!</definedName>
    <definedName name="constu">#REF!</definedName>
    <definedName name="d" localSheetId="4">#REF!</definedName>
    <definedName name="d" localSheetId="9">#REF!</definedName>
    <definedName name="d" localSheetId="8">#REF!</definedName>
    <definedName name="d" localSheetId="7">#REF!</definedName>
    <definedName name="d" localSheetId="3">#REF!</definedName>
    <definedName name="d" localSheetId="5">#REF!</definedName>
    <definedName name="d" localSheetId="6">#REF!</definedName>
    <definedName name="d">#REF!</definedName>
    <definedName name="ddddd" localSheetId="15">[1]อัตราราคางาน!$F$11</definedName>
    <definedName name="ddddd">[1]อัตราราคางาน!$F$11</definedName>
    <definedName name="factor" localSheetId="4">#REF!</definedName>
    <definedName name="factor" localSheetId="9">#REF!</definedName>
    <definedName name="factor" localSheetId="8">#REF!</definedName>
    <definedName name="factor" localSheetId="7">#REF!</definedName>
    <definedName name="factor" localSheetId="3">#REF!</definedName>
    <definedName name="factor" localSheetId="5">#REF!</definedName>
    <definedName name="factor" localSheetId="6">#REF!</definedName>
    <definedName name="factor" localSheetId="15">#REF!</definedName>
    <definedName name="factor">#REF!</definedName>
    <definedName name="fff" localSheetId="4">#REF!</definedName>
    <definedName name="fff" localSheetId="9">#REF!</definedName>
    <definedName name="fff" localSheetId="8">#REF!</definedName>
    <definedName name="fff" localSheetId="7">#REF!</definedName>
    <definedName name="fff" localSheetId="3">#REF!</definedName>
    <definedName name="fff" localSheetId="5">#REF!</definedName>
    <definedName name="fff" localSheetId="6">#REF!</definedName>
    <definedName name="fff" localSheetId="15">#REF!</definedName>
    <definedName name="fff">#REF!</definedName>
    <definedName name="ggg" localSheetId="4">#REF!</definedName>
    <definedName name="ggg" localSheetId="9">#REF!</definedName>
    <definedName name="ggg" localSheetId="8">#REF!</definedName>
    <definedName name="ggg" localSheetId="7">#REF!</definedName>
    <definedName name="ggg" localSheetId="3">#REF!</definedName>
    <definedName name="ggg" localSheetId="5">#REF!</definedName>
    <definedName name="ggg" localSheetId="6">#REF!</definedName>
    <definedName name="ggg" localSheetId="15">#REF!</definedName>
    <definedName name="ggg">#REF!</definedName>
    <definedName name="ncc" localSheetId="4">#REF!</definedName>
    <definedName name="ncc" localSheetId="9">#REF!</definedName>
    <definedName name="ncc" localSheetId="8">#REF!</definedName>
    <definedName name="ncc" localSheetId="7">#REF!</definedName>
    <definedName name="ncc" localSheetId="3">#REF!</definedName>
    <definedName name="ncc" localSheetId="5">#REF!</definedName>
    <definedName name="ncc" localSheetId="6">#REF!</definedName>
    <definedName name="ncc">#REF!</definedName>
    <definedName name="_xlnm.Print_Area" localSheetId="13">'Factor F'!$A$1:$T$27</definedName>
    <definedName name="_xlnm.Print_Area" localSheetId="4">'ปร.4 (โครงสร้าง)'!$A$1:$K$745</definedName>
    <definedName name="_xlnm.Print_Area" localSheetId="9">'ปร.4 (ครุภัณฑ์)'!$A$1:$K$37</definedName>
    <definedName name="_xlnm.Print_Area" localSheetId="8">'ปร.4 (งานปรับอากาศ)'!$A$1:$K$127</definedName>
    <definedName name="_xlnm.Print_Area" localSheetId="7">'ปร.4 (งานระบบไฟฟ้า)'!$A$1:$K$139</definedName>
    <definedName name="_xlnm.Print_Area" localSheetId="3">'ปร.4 (รื้อถอน)'!$A$1:$K$59</definedName>
    <definedName name="_xlnm.Print_Area" localSheetId="5">'ปร.4 (สถาปัต)'!$A$1:$K$237</definedName>
    <definedName name="_xlnm.Print_Area" localSheetId="6">'ปร.4 (สุขาภิบาล)'!$A$1:$K$126</definedName>
    <definedName name="_xlnm.Print_Area" localSheetId="1">'ปร.5(ก)'!$A$1:$G$39</definedName>
    <definedName name="_xlnm.Print_Area" localSheetId="2">'ปร.5(ข)'!$A$1:$G$29</definedName>
    <definedName name="_xlnm.Print_Area" localSheetId="0">ปร.6!$A$1:$E$36</definedName>
    <definedName name="_xlnm.Print_Titles" localSheetId="4">'ปร.4 (โครงสร้าง)'!$1:$13</definedName>
    <definedName name="_xlnm.Print_Titles" localSheetId="9">'ปร.4 (ครุภัณฑ์)'!$1:$13</definedName>
    <definedName name="_xlnm.Print_Titles" localSheetId="8">'ปร.4 (งานปรับอากาศ)'!$1:$13</definedName>
    <definedName name="_xlnm.Print_Titles" localSheetId="7">'ปร.4 (งานระบบไฟฟ้า)'!$1:$13</definedName>
    <definedName name="_xlnm.Print_Titles" localSheetId="3">'ปร.4 (รื้อถอน)'!$1:$13</definedName>
    <definedName name="_xlnm.Print_Titles" localSheetId="5">'ปร.4 (สถาปัต)'!$1:$13</definedName>
    <definedName name="_xlnm.Print_Titles" localSheetId="6">'ปร.4 (สุขาภิบาล)'!$1:$13</definedName>
    <definedName name="print_unit_cost" localSheetId="4">#REF!</definedName>
    <definedName name="print_unit_cost" localSheetId="9">#REF!</definedName>
    <definedName name="print_unit_cost" localSheetId="8">#REF!</definedName>
    <definedName name="print_unit_cost" localSheetId="7">#REF!</definedName>
    <definedName name="print_unit_cost" localSheetId="3">#REF!</definedName>
    <definedName name="print_unit_cost" localSheetId="5">#REF!</definedName>
    <definedName name="print_unit_cost" localSheetId="6">#REF!</definedName>
    <definedName name="print_unit_cost" localSheetId="15">#REF!</definedName>
    <definedName name="print_unit_cost">#REF!</definedName>
    <definedName name="REIN" localSheetId="4">#REF!</definedName>
    <definedName name="REIN" localSheetId="9">#REF!</definedName>
    <definedName name="REIN" localSheetId="8">#REF!</definedName>
    <definedName name="REIN" localSheetId="7">#REF!</definedName>
    <definedName name="REIN" localSheetId="3">#REF!</definedName>
    <definedName name="REIN" localSheetId="5">#REF!</definedName>
    <definedName name="REIN" localSheetId="6">#REF!</definedName>
    <definedName name="REIN" localSheetId="15">#REF!</definedName>
    <definedName name="REIN">#REF!</definedName>
    <definedName name="reinunit" localSheetId="4">#REF!</definedName>
    <definedName name="reinunit" localSheetId="9">#REF!</definedName>
    <definedName name="reinunit" localSheetId="8">#REF!</definedName>
    <definedName name="reinunit" localSheetId="7">#REF!</definedName>
    <definedName name="reinunit" localSheetId="3">#REF!</definedName>
    <definedName name="reinunit" localSheetId="5">#REF!</definedName>
    <definedName name="reinunit" localSheetId="6">#REF!</definedName>
    <definedName name="reinunit" localSheetId="15">#REF!</definedName>
    <definedName name="reinunit">#REF!</definedName>
    <definedName name="S.1" localSheetId="4">#REF!</definedName>
    <definedName name="S.1" localSheetId="9">#REF!</definedName>
    <definedName name="S.1" localSheetId="8">#REF!</definedName>
    <definedName name="S.1" localSheetId="7">#REF!</definedName>
    <definedName name="S.1" localSheetId="3">#REF!</definedName>
    <definedName name="S.1" localSheetId="5">#REF!</definedName>
    <definedName name="S.1" localSheetId="6">#REF!</definedName>
    <definedName name="S.1">#REF!</definedName>
    <definedName name="S.2" localSheetId="4">#REF!</definedName>
    <definedName name="S.2" localSheetId="9">#REF!</definedName>
    <definedName name="S.2" localSheetId="8">#REF!</definedName>
    <definedName name="S.2" localSheetId="7">#REF!</definedName>
    <definedName name="S.2" localSheetId="3">#REF!</definedName>
    <definedName name="S.2" localSheetId="5">#REF!</definedName>
    <definedName name="S.2" localSheetId="6">#REF!</definedName>
    <definedName name="S.2">#REF!</definedName>
    <definedName name="sheet325" localSheetId="4">#REF!</definedName>
    <definedName name="sheet325" localSheetId="9">#REF!</definedName>
    <definedName name="sheet325" localSheetId="8">#REF!</definedName>
    <definedName name="sheet325" localSheetId="7">#REF!</definedName>
    <definedName name="sheet325" localSheetId="3">#REF!</definedName>
    <definedName name="sheet325" localSheetId="5">#REF!</definedName>
    <definedName name="sheet325" localSheetId="6">#REF!</definedName>
    <definedName name="sheet325">#REF!</definedName>
    <definedName name="sheettitle" localSheetId="4">#REF!</definedName>
    <definedName name="sheettitle" localSheetId="9">#REF!</definedName>
    <definedName name="sheettitle" localSheetId="8">#REF!</definedName>
    <definedName name="sheettitle" localSheetId="7">#REF!</definedName>
    <definedName name="sheettitle" localSheetId="3">#REF!</definedName>
    <definedName name="sheettitle" localSheetId="5">#REF!</definedName>
    <definedName name="sheettitle" localSheetId="6">#REF!</definedName>
    <definedName name="sheettitle">#REF!</definedName>
    <definedName name="UC" localSheetId="4">#REF!</definedName>
    <definedName name="UC" localSheetId="9">#REF!</definedName>
    <definedName name="UC" localSheetId="8">#REF!</definedName>
    <definedName name="UC" localSheetId="7">#REF!</definedName>
    <definedName name="UC" localSheetId="3">#REF!</definedName>
    <definedName name="UC" localSheetId="5">#REF!</definedName>
    <definedName name="UC" localSheetId="6">#REF!</definedName>
    <definedName name="UC">#REF!</definedName>
    <definedName name="แผนงาน" localSheetId="4">#REF!</definedName>
    <definedName name="แผนงาน" localSheetId="9">#REF!</definedName>
    <definedName name="แผนงาน" localSheetId="8">#REF!</definedName>
    <definedName name="แผนงาน" localSheetId="7">#REF!</definedName>
    <definedName name="แผนงาน" localSheetId="3">#REF!</definedName>
    <definedName name="แผนงาน" localSheetId="5">#REF!</definedName>
    <definedName name="แผนงาน" localSheetId="6">#REF!</definedName>
    <definedName name="แผนงาน">#REF!</definedName>
    <definedName name="ก_ปญ" localSheetId="4">#REF!</definedName>
    <definedName name="ก_ปญ" localSheetId="9">#REF!</definedName>
    <definedName name="ก_ปญ" localSheetId="8">#REF!</definedName>
    <definedName name="ก_ปญ" localSheetId="7">#REF!</definedName>
    <definedName name="ก_ปญ" localSheetId="3">#REF!</definedName>
    <definedName name="ก_ปญ" localSheetId="5">#REF!</definedName>
    <definedName name="ก_ปญ" localSheetId="6">#REF!</definedName>
    <definedName name="ก_ปญ">#REF!</definedName>
    <definedName name="ก3" localSheetId="4">#REF!</definedName>
    <definedName name="ก3" localSheetId="9">#REF!</definedName>
    <definedName name="ก3" localSheetId="8">#REF!</definedName>
    <definedName name="ก3" localSheetId="7">#REF!</definedName>
    <definedName name="ก3" localSheetId="3">#REF!</definedName>
    <definedName name="ก3" localSheetId="5">#REF!</definedName>
    <definedName name="ก3" localSheetId="6">#REF!</definedName>
    <definedName name="ก3">#REF!</definedName>
    <definedName name="คด1" localSheetId="15">[2]อัตราราคางาน!$F$12</definedName>
    <definedName name="คด1">[2]อัตราราคางาน!$F$12</definedName>
    <definedName name="คย1" localSheetId="15">[2]อัตราราคางาน!$F$11</definedName>
    <definedName name="คย1">[2]อัตราราคางาน!$F$11</definedName>
    <definedName name="คสล1" localSheetId="15">[2]อัตราราคางาน!$F$10</definedName>
    <definedName name="คสล1">[2]อัตราราคางาน!$F$10</definedName>
    <definedName name="ค่าแรงจ้างเหมา" localSheetId="4">#REF!</definedName>
    <definedName name="ค่าแรงจ้างเหมา" localSheetId="9">#REF!</definedName>
    <definedName name="ค่าแรงจ้างเหมา" localSheetId="8">#REF!</definedName>
    <definedName name="ค่าแรงจ้างเหมา" localSheetId="7">#REF!</definedName>
    <definedName name="ค่าแรงจ้างเหมา" localSheetId="3">#REF!</definedName>
    <definedName name="ค่าแรงจ้างเหมา" localSheetId="5">#REF!</definedName>
    <definedName name="ค่าแรงจ้างเหมา" localSheetId="6">#REF!</definedName>
    <definedName name="ค่าแรงจ้างเหมา" localSheetId="15">#REF!</definedName>
    <definedName name="ค่าแรงจ้างเหมา">#REF!</definedName>
    <definedName name="คำบรรยาย" localSheetId="4">#REF!</definedName>
    <definedName name="คำบรรยาย" localSheetId="9">#REF!</definedName>
    <definedName name="คำบรรยาย" localSheetId="8">#REF!</definedName>
    <definedName name="คำบรรยาย" localSheetId="7">#REF!</definedName>
    <definedName name="คำบรรยาย" localSheetId="3">#REF!</definedName>
    <definedName name="คำบรรยาย" localSheetId="5">#REF!</definedName>
    <definedName name="คำบรรยาย" localSheetId="6">#REF!</definedName>
    <definedName name="คำบรรยาย" localSheetId="15">#REF!</definedName>
    <definedName name="คำบรรยาย">#REF!</definedName>
    <definedName name="ชี้แจง" localSheetId="4">#REF!</definedName>
    <definedName name="ชี้แจง" localSheetId="9">#REF!</definedName>
    <definedName name="ชี้แจง" localSheetId="8">#REF!</definedName>
    <definedName name="ชี้แจง" localSheetId="7">#REF!</definedName>
    <definedName name="ชี้แจง" localSheetId="3">#REF!</definedName>
    <definedName name="ชี้แจง" localSheetId="5">#REF!</definedName>
    <definedName name="ชี้แจง" localSheetId="6">#REF!</definedName>
    <definedName name="ชี้แจง" localSheetId="15">#REF!</definedName>
    <definedName name="ชี้แจง">#REF!</definedName>
    <definedName name="ด5f" localSheetId="15">[3]รายละเอียด!$E$5</definedName>
    <definedName name="ด5f">[3]รายละเอียด!$E$5</definedName>
    <definedName name="ตัวอย่าง" localSheetId="4">#REF!</definedName>
    <definedName name="ตัวอย่าง" localSheetId="9">#REF!</definedName>
    <definedName name="ตัวอย่าง" localSheetId="8">#REF!</definedName>
    <definedName name="ตัวอย่าง" localSheetId="7">#REF!</definedName>
    <definedName name="ตัวอย่าง" localSheetId="3">#REF!</definedName>
    <definedName name="ตัวอย่าง" localSheetId="5">#REF!</definedName>
    <definedName name="ตัวอย่าง" localSheetId="6">#REF!</definedName>
    <definedName name="ตัวอย่าง" localSheetId="15">#REF!</definedName>
    <definedName name="ตัวอย่าง">#REF!</definedName>
    <definedName name="ทย" localSheetId="15">[4]ท่อส่งน้ำ!$P$51</definedName>
    <definedName name="ทย">[4]ท่อส่งน้ำ!$P$51</definedName>
    <definedName name="น10" localSheetId="4">#REF!</definedName>
    <definedName name="น10" localSheetId="9">#REF!</definedName>
    <definedName name="น10" localSheetId="8">#REF!</definedName>
    <definedName name="น10" localSheetId="7">#REF!</definedName>
    <definedName name="น10" localSheetId="3">#REF!</definedName>
    <definedName name="น10" localSheetId="5">#REF!</definedName>
    <definedName name="น10" localSheetId="6">#REF!</definedName>
    <definedName name="น10" localSheetId="15">#REF!</definedName>
    <definedName name="น10">#REF!</definedName>
    <definedName name="น11" localSheetId="4">#REF!</definedName>
    <definedName name="น11" localSheetId="9">#REF!</definedName>
    <definedName name="น11" localSheetId="8">#REF!</definedName>
    <definedName name="น11" localSheetId="7">#REF!</definedName>
    <definedName name="น11" localSheetId="3">#REF!</definedName>
    <definedName name="น11" localSheetId="5">#REF!</definedName>
    <definedName name="น11" localSheetId="6">#REF!</definedName>
    <definedName name="น11" localSheetId="15">#REF!</definedName>
    <definedName name="น11">#REF!</definedName>
    <definedName name="น12" localSheetId="4">#REF!</definedName>
    <definedName name="น12" localSheetId="9">#REF!</definedName>
    <definedName name="น12" localSheetId="8">#REF!</definedName>
    <definedName name="น12" localSheetId="7">#REF!</definedName>
    <definedName name="น12" localSheetId="3">#REF!</definedName>
    <definedName name="น12" localSheetId="5">#REF!</definedName>
    <definedName name="น12" localSheetId="6">#REF!</definedName>
    <definedName name="น12" localSheetId="15">#REF!</definedName>
    <definedName name="น12">#REF!</definedName>
    <definedName name="น4" localSheetId="4">#REF!</definedName>
    <definedName name="น4" localSheetId="9">#REF!</definedName>
    <definedName name="น4" localSheetId="8">#REF!</definedName>
    <definedName name="น4" localSheetId="7">#REF!</definedName>
    <definedName name="น4" localSheetId="3">#REF!</definedName>
    <definedName name="น4" localSheetId="5">#REF!</definedName>
    <definedName name="น4" localSheetId="6">#REF!</definedName>
    <definedName name="น4">#REF!</definedName>
    <definedName name="น5" localSheetId="4">#REF!</definedName>
    <definedName name="น5" localSheetId="9">#REF!</definedName>
    <definedName name="น5" localSheetId="8">#REF!</definedName>
    <definedName name="น5" localSheetId="7">#REF!</definedName>
    <definedName name="น5" localSheetId="3">#REF!</definedName>
    <definedName name="น5" localSheetId="5">#REF!</definedName>
    <definedName name="น5" localSheetId="6">#REF!</definedName>
    <definedName name="น5">#REF!</definedName>
    <definedName name="น5_" localSheetId="4">#REF!</definedName>
    <definedName name="น5_" localSheetId="9">#REF!</definedName>
    <definedName name="น5_" localSheetId="8">#REF!</definedName>
    <definedName name="น5_" localSheetId="7">#REF!</definedName>
    <definedName name="น5_" localSheetId="3">#REF!</definedName>
    <definedName name="น5_" localSheetId="5">#REF!</definedName>
    <definedName name="น5_" localSheetId="6">#REF!</definedName>
    <definedName name="น5_">#REF!</definedName>
    <definedName name="น6" localSheetId="4">#REF!</definedName>
    <definedName name="น6" localSheetId="9">#REF!</definedName>
    <definedName name="น6" localSheetId="8">#REF!</definedName>
    <definedName name="น6" localSheetId="7">#REF!</definedName>
    <definedName name="น6" localSheetId="3">#REF!</definedName>
    <definedName name="น6" localSheetId="5">#REF!</definedName>
    <definedName name="น6" localSheetId="6">#REF!</definedName>
    <definedName name="น6">#REF!</definedName>
    <definedName name="น7" localSheetId="4">#REF!</definedName>
    <definedName name="น7" localSheetId="9">#REF!</definedName>
    <definedName name="น7" localSheetId="8">#REF!</definedName>
    <definedName name="น7" localSheetId="7">#REF!</definedName>
    <definedName name="น7" localSheetId="3">#REF!</definedName>
    <definedName name="น7" localSheetId="5">#REF!</definedName>
    <definedName name="น7" localSheetId="6">#REF!</definedName>
    <definedName name="น7">#REF!</definedName>
    <definedName name="น8" localSheetId="4">#REF!</definedName>
    <definedName name="น8" localSheetId="9">#REF!</definedName>
    <definedName name="น8" localSheetId="8">#REF!</definedName>
    <definedName name="น8" localSheetId="7">#REF!</definedName>
    <definedName name="น8" localSheetId="3">#REF!</definedName>
    <definedName name="น8" localSheetId="5">#REF!</definedName>
    <definedName name="น8" localSheetId="6">#REF!</definedName>
    <definedName name="น8">#REF!</definedName>
    <definedName name="ม.3" localSheetId="4">#REF!</definedName>
    <definedName name="ม.3" localSheetId="9">#REF!</definedName>
    <definedName name="ม.3" localSheetId="8">#REF!</definedName>
    <definedName name="ม.3" localSheetId="7">#REF!</definedName>
    <definedName name="ม.3" localSheetId="3">#REF!</definedName>
    <definedName name="ม.3" localSheetId="5">#REF!</definedName>
    <definedName name="ม.3" localSheetId="6">#REF!</definedName>
    <definedName name="ม.3">#REF!</definedName>
    <definedName name="ย_ปญ" localSheetId="4">#REF!</definedName>
    <definedName name="ย_ปญ" localSheetId="9">#REF!</definedName>
    <definedName name="ย_ปญ" localSheetId="8">#REF!</definedName>
    <definedName name="ย_ปญ" localSheetId="7">#REF!</definedName>
    <definedName name="ย_ปญ" localSheetId="3">#REF!</definedName>
    <definedName name="ย_ปญ" localSheetId="5">#REF!</definedName>
    <definedName name="ย_ปญ" localSheetId="6">#REF!</definedName>
    <definedName name="ย_ปญ">#REF!</definedName>
    <definedName name="ย_รฝ" localSheetId="4">#REF!</definedName>
    <definedName name="ย_รฝ" localSheetId="9">#REF!</definedName>
    <definedName name="ย_รฝ" localSheetId="8">#REF!</definedName>
    <definedName name="ย_รฝ" localSheetId="7">#REF!</definedName>
    <definedName name="ย_รฝ" localSheetId="3">#REF!</definedName>
    <definedName name="ย_รฝ" localSheetId="5">#REF!</definedName>
    <definedName name="ย_รฝ" localSheetId="6">#REF!</definedName>
    <definedName name="ย_รฝ">#REF!</definedName>
    <definedName name="ย_รฝ1" localSheetId="4">#REF!</definedName>
    <definedName name="ย_รฝ1" localSheetId="9">#REF!</definedName>
    <definedName name="ย_รฝ1" localSheetId="8">#REF!</definedName>
    <definedName name="ย_รฝ1" localSheetId="7">#REF!</definedName>
    <definedName name="ย_รฝ1" localSheetId="3">#REF!</definedName>
    <definedName name="ย_รฝ1" localSheetId="5">#REF!</definedName>
    <definedName name="ย_รฝ1" localSheetId="6">#REF!</definedName>
    <definedName name="ย_รฝ1">#REF!</definedName>
    <definedName name="ย_รฝ2" localSheetId="4">#REF!</definedName>
    <definedName name="ย_รฝ2" localSheetId="9">#REF!</definedName>
    <definedName name="ย_รฝ2" localSheetId="8">#REF!</definedName>
    <definedName name="ย_รฝ2" localSheetId="7">#REF!</definedName>
    <definedName name="ย_รฝ2" localSheetId="3">#REF!</definedName>
    <definedName name="ย_รฝ2" localSheetId="5">#REF!</definedName>
    <definedName name="ย_รฝ2" localSheetId="6">#REF!</definedName>
    <definedName name="ย_รฝ2">#REF!</definedName>
    <definedName name="ย10" localSheetId="4">#REF!</definedName>
    <definedName name="ย10" localSheetId="9">#REF!</definedName>
    <definedName name="ย10" localSheetId="8">#REF!</definedName>
    <definedName name="ย10" localSheetId="7">#REF!</definedName>
    <definedName name="ย10" localSheetId="3">#REF!</definedName>
    <definedName name="ย10" localSheetId="5">#REF!</definedName>
    <definedName name="ย10" localSheetId="6">#REF!</definedName>
    <definedName name="ย10">#REF!</definedName>
    <definedName name="ย11" localSheetId="4">#REF!</definedName>
    <definedName name="ย11" localSheetId="9">#REF!</definedName>
    <definedName name="ย11" localSheetId="8">#REF!</definedName>
    <definedName name="ย11" localSheetId="7">#REF!</definedName>
    <definedName name="ย11" localSheetId="3">#REF!</definedName>
    <definedName name="ย11" localSheetId="5">#REF!</definedName>
    <definedName name="ย11" localSheetId="6">#REF!</definedName>
    <definedName name="ย11">#REF!</definedName>
    <definedName name="ย3" localSheetId="15">[5]ทำนบดิน!$DH$16</definedName>
    <definedName name="ย3">[5]ทำนบดิน!$DH$16</definedName>
    <definedName name="ย5" localSheetId="4">#REF!</definedName>
    <definedName name="ย5" localSheetId="9">#REF!</definedName>
    <definedName name="ย5" localSheetId="8">#REF!</definedName>
    <definedName name="ย5" localSheetId="7">#REF!</definedName>
    <definedName name="ย5" localSheetId="3">#REF!</definedName>
    <definedName name="ย5" localSheetId="5">#REF!</definedName>
    <definedName name="ย5" localSheetId="6">#REF!</definedName>
    <definedName name="ย5" localSheetId="15">#REF!</definedName>
    <definedName name="ย5">#REF!</definedName>
    <definedName name="ย6" localSheetId="4">#REF!</definedName>
    <definedName name="ย6" localSheetId="9">#REF!</definedName>
    <definedName name="ย6" localSheetId="8">#REF!</definedName>
    <definedName name="ย6" localSheetId="7">#REF!</definedName>
    <definedName name="ย6" localSheetId="3">#REF!</definedName>
    <definedName name="ย6" localSheetId="5">#REF!</definedName>
    <definedName name="ย6" localSheetId="6">#REF!</definedName>
    <definedName name="ย6" localSheetId="15">#REF!</definedName>
    <definedName name="ย6">#REF!</definedName>
    <definedName name="ย7" localSheetId="4">#REF!</definedName>
    <definedName name="ย7" localSheetId="9">#REF!</definedName>
    <definedName name="ย7" localSheetId="8">#REF!</definedName>
    <definedName name="ย7" localSheetId="7">#REF!</definedName>
    <definedName name="ย7" localSheetId="3">#REF!</definedName>
    <definedName name="ย7" localSheetId="5">#REF!</definedName>
    <definedName name="ย7" localSheetId="6">#REF!</definedName>
    <definedName name="ย7" localSheetId="15">#REF!</definedName>
    <definedName name="ย7">#REF!</definedName>
    <definedName name="ย8" localSheetId="4">#REF!</definedName>
    <definedName name="ย8" localSheetId="9">#REF!</definedName>
    <definedName name="ย8" localSheetId="8">#REF!</definedName>
    <definedName name="ย8" localSheetId="7">#REF!</definedName>
    <definedName name="ย8" localSheetId="3">#REF!</definedName>
    <definedName name="ย8" localSheetId="5">#REF!</definedName>
    <definedName name="ย8" localSheetId="6">#REF!</definedName>
    <definedName name="ย8">#REF!</definedName>
    <definedName name="ย9" localSheetId="4">#REF!</definedName>
    <definedName name="ย9" localSheetId="9">#REF!</definedName>
    <definedName name="ย9" localSheetId="8">#REF!</definedName>
    <definedName name="ย9" localSheetId="7">#REF!</definedName>
    <definedName name="ย9" localSheetId="3">#REF!</definedName>
    <definedName name="ย9" localSheetId="5">#REF!</definedName>
    <definedName name="ย9" localSheetId="6">#REF!</definedName>
    <definedName name="ย9">#REF!</definedName>
    <definedName name="ร5" localSheetId="4">#REF!</definedName>
    <definedName name="ร5" localSheetId="9">#REF!</definedName>
    <definedName name="ร5" localSheetId="8">#REF!</definedName>
    <definedName name="ร5" localSheetId="7">#REF!</definedName>
    <definedName name="ร5" localSheetId="3">#REF!</definedName>
    <definedName name="ร5" localSheetId="5">#REF!</definedName>
    <definedName name="ร5" localSheetId="6">#REF!</definedName>
    <definedName name="ร5">#REF!</definedName>
    <definedName name="ร6" localSheetId="4">#REF!</definedName>
    <definedName name="ร6" localSheetId="9">#REF!</definedName>
    <definedName name="ร6" localSheetId="8">#REF!</definedName>
    <definedName name="ร6" localSheetId="7">#REF!</definedName>
    <definedName name="ร6" localSheetId="3">#REF!</definedName>
    <definedName name="ร6" localSheetId="5">#REF!</definedName>
    <definedName name="ร6" localSheetId="6">#REF!</definedName>
    <definedName name="ร6">#REF!</definedName>
    <definedName name="ราคา" localSheetId="4">#REF!</definedName>
    <definedName name="ราคา" localSheetId="9">#REF!</definedName>
    <definedName name="ราคา" localSheetId="8">#REF!</definedName>
    <definedName name="ราคา" localSheetId="7">#REF!</definedName>
    <definedName name="ราคา" localSheetId="3">#REF!</definedName>
    <definedName name="ราคา" localSheetId="5">#REF!</definedName>
    <definedName name="ราคา" localSheetId="6">#REF!</definedName>
    <definedName name="ราคา">#REF!</definedName>
    <definedName name="ราคากลาง" localSheetId="4">#REF!</definedName>
    <definedName name="ราคากลาง" localSheetId="9">#REF!</definedName>
    <definedName name="ราคากลาง" localSheetId="8">#REF!</definedName>
    <definedName name="ราคากลาง" localSheetId="7">#REF!</definedName>
    <definedName name="ราคากลาง" localSheetId="3">#REF!</definedName>
    <definedName name="ราคากลาง" localSheetId="5">#REF!</definedName>
    <definedName name="ราคากลาง" localSheetId="6">#REF!</definedName>
    <definedName name="ราคากลาง">#REF!</definedName>
    <definedName name="ส6" localSheetId="4">#REF!</definedName>
    <definedName name="ส6" localSheetId="9">#REF!</definedName>
    <definedName name="ส6" localSheetId="8">#REF!</definedName>
    <definedName name="ส6" localSheetId="7">#REF!</definedName>
    <definedName name="ส6" localSheetId="3">#REF!</definedName>
    <definedName name="ส6" localSheetId="5">#REF!</definedName>
    <definedName name="ส6" localSheetId="6">#REF!</definedName>
    <definedName name="ส6">#REF!</definedName>
    <definedName name="ส7" localSheetId="4">#REF!</definedName>
    <definedName name="ส7" localSheetId="9">#REF!</definedName>
    <definedName name="ส7" localSheetId="8">#REF!</definedName>
    <definedName name="ส7" localSheetId="7">#REF!</definedName>
    <definedName name="ส7" localSheetId="3">#REF!</definedName>
    <definedName name="ส7" localSheetId="5">#REF!</definedName>
    <definedName name="ส7" localSheetId="6">#REF!</definedName>
    <definedName name="ส7">#REF!</definedName>
    <definedName name="ส8" localSheetId="4">#REF!</definedName>
    <definedName name="ส8" localSheetId="9">#REF!</definedName>
    <definedName name="ส8" localSheetId="8">#REF!</definedName>
    <definedName name="ส8" localSheetId="7">#REF!</definedName>
    <definedName name="ส8" localSheetId="3">#REF!</definedName>
    <definedName name="ส8" localSheetId="5">#REF!</definedName>
    <definedName name="ส8" localSheetId="6">#REF!</definedName>
    <definedName name="ส8">#REF!</definedName>
    <definedName name="ส9" localSheetId="4">#REF!</definedName>
    <definedName name="ส9" localSheetId="9">#REF!</definedName>
    <definedName name="ส9" localSheetId="8">#REF!</definedName>
    <definedName name="ส9" localSheetId="7">#REF!</definedName>
    <definedName name="ส9" localSheetId="3">#REF!</definedName>
    <definedName name="ส9" localSheetId="5">#REF!</definedName>
    <definedName name="ส9" localSheetId="6">#REF!</definedName>
    <definedName name="ส9">#REF!</definedName>
    <definedName name="หค1" localSheetId="4">#REF!</definedName>
    <definedName name="หค1" localSheetId="9">#REF!</definedName>
    <definedName name="หค1" localSheetId="8">#REF!</definedName>
    <definedName name="หค1" localSheetId="7">#REF!</definedName>
    <definedName name="หค1" localSheetId="3">#REF!</definedName>
    <definedName name="หค1" localSheetId="5">#REF!</definedName>
    <definedName name="หค1" localSheetId="6">#REF!</definedName>
    <definedName name="หค1">#REF!</definedName>
    <definedName name="หท1" localSheetId="15">[2]อัตราราคางาน!$F$16</definedName>
    <definedName name="หท1">[2]อัตราราคางาน!$F$16</definedName>
    <definedName name="หร1" localSheetId="15">[2]อัตราราคางาน!$F$15</definedName>
    <definedName name="หร1">[2]อัตราราคางาน!$F$15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H27" i="1"/>
  <c r="I119" i="16" l="1"/>
  <c r="I109" i="16"/>
  <c r="I99" i="16"/>
  <c r="I89" i="16"/>
  <c r="I79" i="16"/>
  <c r="I67" i="16"/>
  <c r="I54" i="16"/>
  <c r="I40" i="16"/>
  <c r="I26" i="16"/>
  <c r="I22" i="16"/>
  <c r="I59" i="15"/>
  <c r="I58" i="15"/>
  <c r="I55" i="15"/>
  <c r="I43" i="15"/>
  <c r="I31" i="15"/>
  <c r="J20" i="1" l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I23" i="21" l="1"/>
  <c r="I22" i="21"/>
  <c r="H22" i="21"/>
  <c r="F22" i="21"/>
  <c r="H21" i="21"/>
  <c r="F21" i="21"/>
  <c r="I21" i="21" s="1"/>
  <c r="H20" i="21"/>
  <c r="F20" i="21"/>
  <c r="I20" i="21" s="1"/>
  <c r="I237" i="17"/>
  <c r="H137" i="19"/>
  <c r="F137" i="19"/>
  <c r="I137" i="19" s="1"/>
  <c r="H136" i="19"/>
  <c r="E136" i="19"/>
  <c r="F136" i="19" s="1"/>
  <c r="I136" i="19" s="1"/>
  <c r="H135" i="19"/>
  <c r="E135" i="19"/>
  <c r="F135" i="19" s="1"/>
  <c r="I135" i="19" s="1"/>
  <c r="H134" i="19"/>
  <c r="F134" i="19"/>
  <c r="I134" i="19" s="1"/>
  <c r="I138" i="19" s="1"/>
  <c r="H131" i="19"/>
  <c r="F131" i="19"/>
  <c r="H130" i="19"/>
  <c r="F130" i="19"/>
  <c r="I130" i="19" s="1"/>
  <c r="H129" i="19"/>
  <c r="F129" i="19"/>
  <c r="I129" i="19" s="1"/>
  <c r="H128" i="19"/>
  <c r="F128" i="19"/>
  <c r="I128" i="19" s="1"/>
  <c r="H127" i="19"/>
  <c r="F127" i="19"/>
  <c r="I127" i="19" s="1"/>
  <c r="H126" i="19"/>
  <c r="C126" i="19"/>
  <c r="F126" i="19" s="1"/>
  <c r="I126" i="19" s="1"/>
  <c r="H125" i="19"/>
  <c r="I125" i="19" s="1"/>
  <c r="H124" i="19"/>
  <c r="F124" i="19"/>
  <c r="I124" i="19" s="1"/>
  <c r="I131" i="19" l="1"/>
  <c r="I132" i="19" s="1"/>
  <c r="AG132" i="19" s="1"/>
  <c r="H17" i="21" l="1"/>
  <c r="H18" i="21"/>
  <c r="H19" i="21"/>
  <c r="F17" i="21"/>
  <c r="F18" i="21"/>
  <c r="F19" i="21"/>
  <c r="C7" i="1"/>
  <c r="B13" i="1"/>
  <c r="I17" i="21" l="1"/>
  <c r="I19" i="21"/>
  <c r="I18" i="21"/>
  <c r="AB10" i="21" l="1"/>
  <c r="AA10" i="21"/>
  <c r="AB9" i="21"/>
  <c r="AA9" i="21"/>
  <c r="AB8" i="21"/>
  <c r="AA8" i="21"/>
  <c r="AB7" i="21"/>
  <c r="AA7" i="21"/>
  <c r="AB10" i="20"/>
  <c r="AA10" i="20"/>
  <c r="AB9" i="20"/>
  <c r="AA9" i="20"/>
  <c r="AB8" i="20"/>
  <c r="AA8" i="20"/>
  <c r="AB7" i="20"/>
  <c r="AA7" i="20"/>
  <c r="AB10" i="19"/>
  <c r="AA10" i="19"/>
  <c r="AB9" i="19"/>
  <c r="AA9" i="19"/>
  <c r="AB8" i="19"/>
  <c r="AA8" i="19"/>
  <c r="AB7" i="19"/>
  <c r="AA7" i="19"/>
  <c r="AB10" i="18"/>
  <c r="AA10" i="18"/>
  <c r="AB9" i="18"/>
  <c r="AA9" i="18"/>
  <c r="AB8" i="18"/>
  <c r="AA8" i="18"/>
  <c r="AB7" i="18"/>
  <c r="AA7" i="18"/>
  <c r="AB10" i="17"/>
  <c r="AA10" i="17"/>
  <c r="AB9" i="17"/>
  <c r="AA9" i="17"/>
  <c r="AB8" i="17"/>
  <c r="AA8" i="17"/>
  <c r="AB7" i="17"/>
  <c r="AA7" i="17"/>
  <c r="AB10" i="16"/>
  <c r="AA10" i="16"/>
  <c r="AB9" i="16"/>
  <c r="AA9" i="16"/>
  <c r="AB8" i="16"/>
  <c r="AA8" i="16"/>
  <c r="AB7" i="16"/>
  <c r="AA7" i="16"/>
  <c r="AB10" i="15" l="1"/>
  <c r="AA10" i="15"/>
  <c r="AB9" i="15"/>
  <c r="AA9" i="15"/>
  <c r="AB8" i="15"/>
  <c r="AA8" i="15"/>
  <c r="AB7" i="15"/>
  <c r="AA7" i="15"/>
  <c r="H31" i="21" l="1"/>
  <c r="F31" i="21"/>
  <c r="H30" i="21"/>
  <c r="F30" i="21"/>
  <c r="I30" i="21" s="1"/>
  <c r="H29" i="21"/>
  <c r="F29" i="21"/>
  <c r="H28" i="21"/>
  <c r="F28" i="21"/>
  <c r="H27" i="21"/>
  <c r="F27" i="21"/>
  <c r="H26" i="21"/>
  <c r="F26" i="21"/>
  <c r="H25" i="21"/>
  <c r="E25" i="21"/>
  <c r="F25" i="21" s="1"/>
  <c r="I25" i="21" l="1"/>
  <c r="I29" i="21"/>
  <c r="I26" i="21"/>
  <c r="I28" i="21"/>
  <c r="I27" i="21"/>
  <c r="I31" i="21"/>
  <c r="AG23" i="21" l="1"/>
  <c r="I32" i="21"/>
  <c r="H121" i="19"/>
  <c r="F121" i="19"/>
  <c r="F72" i="18"/>
  <c r="F66" i="18"/>
  <c r="F16" i="18"/>
  <c r="H230" i="17"/>
  <c r="I230" i="17" s="1"/>
  <c r="F230" i="17"/>
  <c r="I33" i="21" l="1"/>
  <c r="D14" i="3" s="1"/>
  <c r="F14" i="3" s="1"/>
  <c r="F19" i="3" s="1"/>
  <c r="I121" i="19"/>
  <c r="I122" i="19" s="1"/>
  <c r="F77" i="20"/>
  <c r="G77" i="20" s="1"/>
  <c r="H77" i="20" s="1"/>
  <c r="I77" i="20" s="1"/>
  <c r="I78" i="20" s="1"/>
  <c r="F101" i="20" l="1"/>
  <c r="F100" i="20"/>
  <c r="F97" i="20"/>
  <c r="F96" i="20"/>
  <c r="F95" i="20"/>
  <c r="F94" i="20"/>
  <c r="F93" i="20"/>
  <c r="E90" i="20"/>
  <c r="F90" i="20" s="1"/>
  <c r="E89" i="20"/>
  <c r="F89" i="20" s="1"/>
  <c r="F86" i="20"/>
  <c r="H233" i="17"/>
  <c r="F233" i="17"/>
  <c r="I233" i="17" s="1"/>
  <c r="I235" i="17" s="1"/>
  <c r="E49" i="16" l="1"/>
  <c r="E50" i="16"/>
  <c r="E51" i="16"/>
  <c r="E52" i="16"/>
  <c r="B17" i="1" l="1"/>
  <c r="B16" i="1"/>
  <c r="B15" i="1"/>
  <c r="B14" i="1"/>
  <c r="B12" i="1"/>
  <c r="AB13" i="21"/>
  <c r="AA13" i="21"/>
  <c r="AB12" i="21"/>
  <c r="AA12" i="21"/>
  <c r="AB5" i="21"/>
  <c r="AA5" i="21"/>
  <c r="AB4" i="21"/>
  <c r="AA4" i="21"/>
  <c r="I4" i="21"/>
  <c r="AB3" i="21"/>
  <c r="AA3" i="21"/>
  <c r="AB2" i="21"/>
  <c r="AA2" i="21"/>
  <c r="P127" i="20"/>
  <c r="P126" i="20"/>
  <c r="P125" i="20"/>
  <c r="H125" i="20"/>
  <c r="F125" i="20"/>
  <c r="P121" i="20"/>
  <c r="H121" i="20"/>
  <c r="F121" i="20"/>
  <c r="M120" i="20"/>
  <c r="H120" i="20"/>
  <c r="F120" i="20"/>
  <c r="M119" i="20"/>
  <c r="H119" i="20"/>
  <c r="F119" i="20"/>
  <c r="M118" i="20"/>
  <c r="H118" i="20"/>
  <c r="F118" i="20"/>
  <c r="M117" i="20"/>
  <c r="H117" i="20"/>
  <c r="F117" i="20"/>
  <c r="P116" i="20"/>
  <c r="M115" i="20"/>
  <c r="H115" i="20"/>
  <c r="F115" i="20"/>
  <c r="M110" i="20"/>
  <c r="H110" i="20"/>
  <c r="F110" i="20"/>
  <c r="M109" i="20"/>
  <c r="H109" i="20"/>
  <c r="F109" i="20"/>
  <c r="H105" i="20"/>
  <c r="F105" i="20"/>
  <c r="F104" i="20"/>
  <c r="G104" i="20" s="1"/>
  <c r="H104" i="20" s="1"/>
  <c r="I104" i="20" s="1"/>
  <c r="F103" i="20"/>
  <c r="G103" i="20" s="1"/>
  <c r="H103" i="20" s="1"/>
  <c r="I103" i="20" s="1"/>
  <c r="H101" i="20"/>
  <c r="I101" i="20" s="1"/>
  <c r="H100" i="20"/>
  <c r="I100" i="20" s="1"/>
  <c r="I102" i="20" s="1"/>
  <c r="H97" i="20"/>
  <c r="I97" i="20" s="1"/>
  <c r="H96" i="20"/>
  <c r="I96" i="20" s="1"/>
  <c r="H95" i="20"/>
  <c r="I95" i="20" s="1"/>
  <c r="H94" i="20"/>
  <c r="I94" i="20" s="1"/>
  <c r="H93" i="20"/>
  <c r="I93" i="20" s="1"/>
  <c r="H90" i="20"/>
  <c r="I90" i="20" s="1"/>
  <c r="H89" i="20"/>
  <c r="I89" i="20" s="1"/>
  <c r="I91" i="20" s="1"/>
  <c r="H86" i="20"/>
  <c r="I86" i="20" s="1"/>
  <c r="I87" i="20" s="1"/>
  <c r="Q84" i="20"/>
  <c r="R82" i="20" s="1"/>
  <c r="P82" i="20"/>
  <c r="P81" i="20"/>
  <c r="H81" i="20"/>
  <c r="F81" i="20"/>
  <c r="P80" i="20"/>
  <c r="P76" i="20"/>
  <c r="N76" i="20"/>
  <c r="P74" i="20"/>
  <c r="M73" i="20"/>
  <c r="H73" i="20"/>
  <c r="F73" i="20"/>
  <c r="M72" i="20"/>
  <c r="H72" i="20"/>
  <c r="F72" i="20"/>
  <c r="M71" i="20"/>
  <c r="H71" i="20"/>
  <c r="F71" i="20"/>
  <c r="M70" i="20"/>
  <c r="H70" i="20"/>
  <c r="F70" i="20"/>
  <c r="M69" i="20"/>
  <c r="H69" i="20"/>
  <c r="F69" i="20"/>
  <c r="P68" i="20"/>
  <c r="P66" i="20"/>
  <c r="P65" i="20"/>
  <c r="P64" i="20"/>
  <c r="P63" i="20"/>
  <c r="M62" i="20"/>
  <c r="H62" i="20"/>
  <c r="F62" i="20"/>
  <c r="M61" i="20"/>
  <c r="H61" i="20"/>
  <c r="F61" i="20"/>
  <c r="M60" i="20"/>
  <c r="H60" i="20"/>
  <c r="F60" i="20"/>
  <c r="M59" i="20"/>
  <c r="H59" i="20"/>
  <c r="F59" i="20"/>
  <c r="M58" i="20"/>
  <c r="H58" i="20"/>
  <c r="F58" i="20"/>
  <c r="M54" i="20"/>
  <c r="H54" i="20"/>
  <c r="F54" i="20"/>
  <c r="M53" i="20"/>
  <c r="H53" i="20"/>
  <c r="F53" i="20"/>
  <c r="M52" i="20"/>
  <c r="H52" i="20"/>
  <c r="F52" i="20"/>
  <c r="O51" i="20"/>
  <c r="M51" i="20"/>
  <c r="H51" i="20"/>
  <c r="F51" i="20"/>
  <c r="M50" i="20"/>
  <c r="H50" i="20"/>
  <c r="F50" i="20"/>
  <c r="M49" i="20"/>
  <c r="H49" i="20"/>
  <c r="F49" i="20"/>
  <c r="M48" i="20"/>
  <c r="H48" i="20"/>
  <c r="F48" i="20"/>
  <c r="M47" i="20"/>
  <c r="H47" i="20"/>
  <c r="F47" i="20"/>
  <c r="M46" i="20"/>
  <c r="H46" i="20"/>
  <c r="F46" i="20"/>
  <c r="M41" i="20"/>
  <c r="H41" i="20"/>
  <c r="F41" i="20"/>
  <c r="M40" i="20"/>
  <c r="H40" i="20"/>
  <c r="F40" i="20"/>
  <c r="M39" i="20"/>
  <c r="H39" i="20"/>
  <c r="F39" i="20"/>
  <c r="M38" i="20"/>
  <c r="H38" i="20"/>
  <c r="F38" i="20"/>
  <c r="M37" i="20"/>
  <c r="H37" i="20"/>
  <c r="F37" i="20"/>
  <c r="M36" i="20"/>
  <c r="H36" i="20"/>
  <c r="F36" i="20"/>
  <c r="O35" i="20"/>
  <c r="M35" i="20"/>
  <c r="H35" i="20"/>
  <c r="F35" i="20"/>
  <c r="M34" i="20"/>
  <c r="H34" i="20"/>
  <c r="F34" i="20"/>
  <c r="M29" i="20"/>
  <c r="H29" i="20"/>
  <c r="F29" i="20"/>
  <c r="E31" i="20" s="1"/>
  <c r="F31" i="20" s="1"/>
  <c r="G31" i="20" s="1"/>
  <c r="H31" i="20" s="1"/>
  <c r="I31" i="20" s="1"/>
  <c r="H24" i="20"/>
  <c r="F24" i="20"/>
  <c r="H23" i="20"/>
  <c r="F23" i="20"/>
  <c r="F20" i="20"/>
  <c r="G20" i="20" s="1"/>
  <c r="H20" i="20" s="1"/>
  <c r="I20" i="20" s="1"/>
  <c r="F19" i="20"/>
  <c r="G19" i="20" s="1"/>
  <c r="H19" i="20" s="1"/>
  <c r="I19" i="20" s="1"/>
  <c r="F18" i="20"/>
  <c r="G18" i="20" s="1"/>
  <c r="H18" i="20" s="1"/>
  <c r="I18" i="20" s="1"/>
  <c r="AB13" i="20"/>
  <c r="AA13" i="20"/>
  <c r="AB12" i="20"/>
  <c r="AA12" i="20"/>
  <c r="R8" i="20" s="1"/>
  <c r="Q8" i="20" s="1"/>
  <c r="AB5" i="20"/>
  <c r="AA5" i="20"/>
  <c r="AB4" i="20"/>
  <c r="AA4" i="20"/>
  <c r="I4" i="20"/>
  <c r="AB3" i="20"/>
  <c r="AA3" i="20"/>
  <c r="AB2" i="20"/>
  <c r="AA2" i="20"/>
  <c r="H118" i="19"/>
  <c r="E118" i="19"/>
  <c r="F118" i="19" s="1"/>
  <c r="H117" i="19"/>
  <c r="F117" i="19"/>
  <c r="G115" i="19"/>
  <c r="H115" i="19" s="1"/>
  <c r="F115" i="19"/>
  <c r="G114" i="19"/>
  <c r="H114" i="19" s="1"/>
  <c r="F114" i="19"/>
  <c r="G113" i="19"/>
  <c r="H113" i="19" s="1"/>
  <c r="F113" i="19"/>
  <c r="G112" i="19"/>
  <c r="H112" i="19" s="1"/>
  <c r="F112" i="19"/>
  <c r="G111" i="19"/>
  <c r="H111" i="19" s="1"/>
  <c r="F111" i="19"/>
  <c r="H107" i="19"/>
  <c r="E107" i="19"/>
  <c r="F107" i="19" s="1"/>
  <c r="H105" i="19"/>
  <c r="F105" i="19"/>
  <c r="H104" i="19"/>
  <c r="E104" i="19"/>
  <c r="F104" i="19" s="1"/>
  <c r="H102" i="19"/>
  <c r="F102" i="19"/>
  <c r="H101" i="19"/>
  <c r="F101" i="19"/>
  <c r="H100" i="19"/>
  <c r="F100" i="19"/>
  <c r="H99" i="19"/>
  <c r="F99" i="19"/>
  <c r="H98" i="19"/>
  <c r="F98" i="19"/>
  <c r="H97" i="19"/>
  <c r="F97" i="19"/>
  <c r="H96" i="19"/>
  <c r="E96" i="19"/>
  <c r="F96" i="19" s="1"/>
  <c r="E91" i="19"/>
  <c r="C91" i="19"/>
  <c r="H90" i="19"/>
  <c r="E90" i="19"/>
  <c r="F90" i="19" s="1"/>
  <c r="H86" i="19"/>
  <c r="E86" i="19"/>
  <c r="F86" i="19" s="1"/>
  <c r="H85" i="19"/>
  <c r="E85" i="19"/>
  <c r="F85" i="19" s="1"/>
  <c r="H81" i="19"/>
  <c r="F81" i="19"/>
  <c r="C80" i="19"/>
  <c r="H80" i="19" s="1"/>
  <c r="C79" i="19"/>
  <c r="F79" i="19" s="1"/>
  <c r="H75" i="19"/>
  <c r="E75" i="19"/>
  <c r="F75" i="19" s="1"/>
  <c r="H74" i="19"/>
  <c r="E74" i="19"/>
  <c r="F74" i="19" s="1"/>
  <c r="H71" i="19"/>
  <c r="E71" i="19"/>
  <c r="F71" i="19" s="1"/>
  <c r="H70" i="19"/>
  <c r="E70" i="19"/>
  <c r="F70" i="19" s="1"/>
  <c r="H69" i="19"/>
  <c r="E69" i="19"/>
  <c r="F69" i="19" s="1"/>
  <c r="H68" i="19"/>
  <c r="E68" i="19"/>
  <c r="F68" i="19" s="1"/>
  <c r="H67" i="19"/>
  <c r="E67" i="19"/>
  <c r="F67" i="19" s="1"/>
  <c r="H66" i="19"/>
  <c r="E66" i="19"/>
  <c r="F66" i="19" s="1"/>
  <c r="H65" i="19"/>
  <c r="E65" i="19"/>
  <c r="F65" i="19" s="1"/>
  <c r="H59" i="19"/>
  <c r="F59" i="19"/>
  <c r="H58" i="19"/>
  <c r="F58" i="19"/>
  <c r="C57" i="19"/>
  <c r="H56" i="19"/>
  <c r="F56" i="19"/>
  <c r="H55" i="19"/>
  <c r="F55" i="19"/>
  <c r="H54" i="19"/>
  <c r="F54" i="19"/>
  <c r="H53" i="19"/>
  <c r="F53" i="19"/>
  <c r="H50" i="19"/>
  <c r="F50" i="19"/>
  <c r="H49" i="19"/>
  <c r="F49" i="19"/>
  <c r="H48" i="19"/>
  <c r="F48" i="19"/>
  <c r="H47" i="19"/>
  <c r="F47" i="19"/>
  <c r="H46" i="19"/>
  <c r="F46" i="19"/>
  <c r="H45" i="19"/>
  <c r="F45" i="19"/>
  <c r="G41" i="19"/>
  <c r="H41" i="19" s="1"/>
  <c r="F41" i="19"/>
  <c r="E40" i="19"/>
  <c r="C40" i="19"/>
  <c r="H40" i="19" s="1"/>
  <c r="G39" i="19"/>
  <c r="H39" i="19" s="1"/>
  <c r="F39" i="19"/>
  <c r="H38" i="19"/>
  <c r="E38" i="19"/>
  <c r="F38" i="19" s="1"/>
  <c r="H35" i="19"/>
  <c r="F35" i="19"/>
  <c r="H31" i="19"/>
  <c r="F31" i="19"/>
  <c r="C30" i="19"/>
  <c r="H30" i="19" s="1"/>
  <c r="C29" i="19"/>
  <c r="H29" i="19" s="1"/>
  <c r="H28" i="19"/>
  <c r="F28" i="19"/>
  <c r="C27" i="19"/>
  <c r="H26" i="19"/>
  <c r="F26" i="19"/>
  <c r="H25" i="19"/>
  <c r="F25" i="19"/>
  <c r="H24" i="19"/>
  <c r="F24" i="19"/>
  <c r="H23" i="19"/>
  <c r="F23" i="19"/>
  <c r="H22" i="19"/>
  <c r="F22" i="19"/>
  <c r="H21" i="19"/>
  <c r="F21" i="19"/>
  <c r="H20" i="19"/>
  <c r="F20" i="19"/>
  <c r="G17" i="19"/>
  <c r="H17" i="19" s="1"/>
  <c r="F17" i="19"/>
  <c r="AB13" i="19"/>
  <c r="AA13" i="19"/>
  <c r="AB12" i="19"/>
  <c r="AA12" i="19"/>
  <c r="AB5" i="19"/>
  <c r="AA5" i="19"/>
  <c r="AB4" i="19"/>
  <c r="AA4" i="19"/>
  <c r="I4" i="19"/>
  <c r="AB3" i="19"/>
  <c r="AA3" i="19"/>
  <c r="AB2" i="19"/>
  <c r="AA2" i="19"/>
  <c r="H124" i="18"/>
  <c r="F124" i="18"/>
  <c r="H123" i="18"/>
  <c r="F123" i="18"/>
  <c r="H120" i="18"/>
  <c r="F120" i="18"/>
  <c r="H119" i="18"/>
  <c r="F119" i="18"/>
  <c r="H118" i="18"/>
  <c r="F118" i="18"/>
  <c r="H117" i="18"/>
  <c r="F117" i="18"/>
  <c r="H116" i="18"/>
  <c r="F116" i="18"/>
  <c r="G114" i="18"/>
  <c r="H114" i="18" s="1"/>
  <c r="F114" i="18"/>
  <c r="H110" i="18"/>
  <c r="F110" i="18"/>
  <c r="H109" i="18"/>
  <c r="F109" i="18"/>
  <c r="O107" i="18"/>
  <c r="H107" i="18"/>
  <c r="F107" i="18"/>
  <c r="O106" i="18"/>
  <c r="H102" i="18"/>
  <c r="F102" i="18"/>
  <c r="H101" i="18"/>
  <c r="F101" i="18"/>
  <c r="H96" i="18"/>
  <c r="F96" i="18"/>
  <c r="H94" i="18"/>
  <c r="F94" i="18"/>
  <c r="H93" i="18"/>
  <c r="F93" i="18"/>
  <c r="H91" i="18"/>
  <c r="F91" i="18"/>
  <c r="H89" i="18"/>
  <c r="F89" i="18"/>
  <c r="H88" i="18"/>
  <c r="F88" i="18"/>
  <c r="H87" i="18"/>
  <c r="F87" i="18"/>
  <c r="H85" i="18"/>
  <c r="F85" i="18"/>
  <c r="O83" i="18"/>
  <c r="H83" i="18"/>
  <c r="E83" i="18"/>
  <c r="F83" i="18" s="1"/>
  <c r="O82" i="18"/>
  <c r="O81" i="18"/>
  <c r="O80" i="18"/>
  <c r="O79" i="18"/>
  <c r="H78" i="18"/>
  <c r="F78" i="18"/>
  <c r="H77" i="18"/>
  <c r="F77" i="18"/>
  <c r="H76" i="18"/>
  <c r="F76" i="18"/>
  <c r="H75" i="18"/>
  <c r="F75" i="18"/>
  <c r="H74" i="18"/>
  <c r="F74" i="18"/>
  <c r="H72" i="18"/>
  <c r="I72" i="18" s="1"/>
  <c r="H66" i="18"/>
  <c r="I66" i="18" s="1"/>
  <c r="H62" i="18"/>
  <c r="F62" i="18"/>
  <c r="H60" i="18"/>
  <c r="F60" i="18"/>
  <c r="H58" i="18"/>
  <c r="F58" i="18"/>
  <c r="H57" i="18"/>
  <c r="F57" i="18"/>
  <c r="H56" i="18"/>
  <c r="F56" i="18"/>
  <c r="H54" i="18"/>
  <c r="F54" i="18"/>
  <c r="H52" i="18"/>
  <c r="F52" i="18"/>
  <c r="H50" i="18"/>
  <c r="F50" i="18"/>
  <c r="H48" i="18"/>
  <c r="F48" i="18"/>
  <c r="H46" i="18"/>
  <c r="F46" i="18"/>
  <c r="H44" i="18"/>
  <c r="F44" i="18"/>
  <c r="H43" i="18"/>
  <c r="F43" i="18"/>
  <c r="H42" i="18"/>
  <c r="F42" i="18"/>
  <c r="M37" i="18"/>
  <c r="H37" i="18"/>
  <c r="F37" i="18"/>
  <c r="M36" i="18"/>
  <c r="H36" i="18"/>
  <c r="F36" i="18"/>
  <c r="M35" i="18"/>
  <c r="H35" i="18"/>
  <c r="F35" i="18"/>
  <c r="M34" i="18"/>
  <c r="H34" i="18"/>
  <c r="F34" i="18"/>
  <c r="M33" i="18"/>
  <c r="H33" i="18"/>
  <c r="F33" i="18"/>
  <c r="M32" i="18"/>
  <c r="H32" i="18"/>
  <c r="F32" i="18"/>
  <c r="M31" i="18"/>
  <c r="H31" i="18"/>
  <c r="F31" i="18"/>
  <c r="E27" i="18"/>
  <c r="F27" i="18" s="1"/>
  <c r="G27" i="18" s="1"/>
  <c r="H27" i="18" s="1"/>
  <c r="I27" i="18" s="1"/>
  <c r="E26" i="18"/>
  <c r="F26" i="18" s="1"/>
  <c r="E23" i="18"/>
  <c r="F23" i="18" s="1"/>
  <c r="G23" i="18" s="1"/>
  <c r="H23" i="18" s="1"/>
  <c r="I23" i="18" s="1"/>
  <c r="H16" i="18"/>
  <c r="I16" i="18" s="1"/>
  <c r="AB13" i="18"/>
  <c r="AA13" i="18"/>
  <c r="AB12" i="18"/>
  <c r="AA12" i="18"/>
  <c r="R8" i="18" s="1"/>
  <c r="Q8" i="18" s="1"/>
  <c r="AB5" i="18"/>
  <c r="AA5" i="18"/>
  <c r="AB4" i="18"/>
  <c r="AA4" i="18"/>
  <c r="I4" i="18"/>
  <c r="AB3" i="18"/>
  <c r="AA3" i="18"/>
  <c r="AB2" i="18"/>
  <c r="AA2" i="18"/>
  <c r="E229" i="17"/>
  <c r="G229" i="17" s="1"/>
  <c r="H229" i="17" s="1"/>
  <c r="E228" i="17"/>
  <c r="F228" i="17" s="1"/>
  <c r="E227" i="17"/>
  <c r="G227" i="17" s="1"/>
  <c r="H227" i="17" s="1"/>
  <c r="E226" i="17"/>
  <c r="F226" i="17" s="1"/>
  <c r="C225" i="17"/>
  <c r="F225" i="17" s="1"/>
  <c r="E223" i="17"/>
  <c r="G223" i="17" s="1"/>
  <c r="H223" i="17" s="1"/>
  <c r="E217" i="17"/>
  <c r="C217" i="17"/>
  <c r="H217" i="17" s="1"/>
  <c r="E211" i="17"/>
  <c r="C211" i="17"/>
  <c r="C212" i="17" s="1"/>
  <c r="E207" i="17"/>
  <c r="C207" i="17"/>
  <c r="C208" i="17" s="1"/>
  <c r="E201" i="17"/>
  <c r="C201" i="17"/>
  <c r="G194" i="17"/>
  <c r="H194" i="17" s="1"/>
  <c r="F194" i="17"/>
  <c r="G193" i="17"/>
  <c r="H193" i="17" s="1"/>
  <c r="F193" i="17"/>
  <c r="G177" i="17"/>
  <c r="E177" i="17"/>
  <c r="D177" i="17"/>
  <c r="B177" i="17"/>
  <c r="G176" i="17"/>
  <c r="E176" i="17"/>
  <c r="D176" i="17"/>
  <c r="B176" i="17"/>
  <c r="G175" i="17"/>
  <c r="E175" i="17"/>
  <c r="D175" i="17"/>
  <c r="B175" i="17"/>
  <c r="G174" i="17"/>
  <c r="E174" i="17"/>
  <c r="D174" i="17"/>
  <c r="B174" i="17"/>
  <c r="G173" i="17"/>
  <c r="E173" i="17"/>
  <c r="D173" i="17"/>
  <c r="B173" i="17"/>
  <c r="G172" i="17"/>
  <c r="E172" i="17"/>
  <c r="D172" i="17"/>
  <c r="B172" i="17"/>
  <c r="G171" i="17"/>
  <c r="E171" i="17"/>
  <c r="D171" i="17"/>
  <c r="B171" i="17"/>
  <c r="G170" i="17"/>
  <c r="E170" i="17"/>
  <c r="D170" i="17"/>
  <c r="B170" i="17"/>
  <c r="G169" i="17"/>
  <c r="E169" i="17"/>
  <c r="D169" i="17"/>
  <c r="B169" i="17"/>
  <c r="G168" i="17"/>
  <c r="E168" i="17"/>
  <c r="D168" i="17"/>
  <c r="B168" i="17"/>
  <c r="G167" i="17"/>
  <c r="D167" i="17"/>
  <c r="B167" i="17"/>
  <c r="G166" i="17"/>
  <c r="D166" i="17"/>
  <c r="B166" i="17"/>
  <c r="B165" i="17"/>
  <c r="B164" i="17"/>
  <c r="B163" i="17"/>
  <c r="B162" i="17"/>
  <c r="B161" i="17"/>
  <c r="G160" i="17"/>
  <c r="E160" i="17"/>
  <c r="D160" i="17"/>
  <c r="B160" i="17"/>
  <c r="D159" i="17"/>
  <c r="B159" i="17"/>
  <c r="G158" i="17"/>
  <c r="E158" i="17"/>
  <c r="D158" i="17"/>
  <c r="B158" i="17"/>
  <c r="G157" i="17"/>
  <c r="E157" i="17"/>
  <c r="D157" i="17"/>
  <c r="B157" i="17"/>
  <c r="G156" i="17"/>
  <c r="E156" i="17"/>
  <c r="D156" i="17"/>
  <c r="B156" i="17"/>
  <c r="G155" i="17"/>
  <c r="E155" i="17"/>
  <c r="D155" i="17"/>
  <c r="B155" i="17"/>
  <c r="G151" i="17"/>
  <c r="E151" i="17"/>
  <c r="C151" i="17"/>
  <c r="G150" i="17"/>
  <c r="E150" i="17"/>
  <c r="C150" i="17"/>
  <c r="G149" i="17"/>
  <c r="E149" i="17"/>
  <c r="C149" i="17"/>
  <c r="G148" i="17"/>
  <c r="E148" i="17"/>
  <c r="C148" i="17"/>
  <c r="G147" i="17"/>
  <c r="E147" i="17"/>
  <c r="C147" i="17"/>
  <c r="G146" i="17"/>
  <c r="E146" i="17"/>
  <c r="C146" i="17"/>
  <c r="G145" i="17"/>
  <c r="E145" i="17"/>
  <c r="C145" i="17"/>
  <c r="G144" i="17"/>
  <c r="E144" i="17"/>
  <c r="C144" i="17"/>
  <c r="G143" i="17"/>
  <c r="E143" i="17"/>
  <c r="C143" i="17"/>
  <c r="G142" i="17"/>
  <c r="E142" i="17"/>
  <c r="C142" i="17"/>
  <c r="G141" i="17"/>
  <c r="E141" i="17"/>
  <c r="C141" i="17"/>
  <c r="G140" i="17"/>
  <c r="E140" i="17"/>
  <c r="C140" i="17"/>
  <c r="G139" i="17"/>
  <c r="E139" i="17"/>
  <c r="C139" i="17"/>
  <c r="C136" i="17"/>
  <c r="G135" i="17"/>
  <c r="E135" i="17"/>
  <c r="C135" i="17"/>
  <c r="G134" i="17"/>
  <c r="E134" i="17"/>
  <c r="C134" i="17"/>
  <c r="G133" i="17"/>
  <c r="E133" i="17"/>
  <c r="C133" i="17"/>
  <c r="G132" i="17"/>
  <c r="E132" i="17"/>
  <c r="C132" i="17"/>
  <c r="G131" i="17"/>
  <c r="E131" i="17"/>
  <c r="B131" i="17"/>
  <c r="C130" i="17"/>
  <c r="C129" i="17"/>
  <c r="C128" i="17"/>
  <c r="C127" i="17"/>
  <c r="C126" i="17"/>
  <c r="C125" i="17"/>
  <c r="G124" i="17"/>
  <c r="E124" i="17"/>
  <c r="C124" i="17"/>
  <c r="C123" i="17"/>
  <c r="C122" i="17"/>
  <c r="C121" i="17"/>
  <c r="G120" i="17"/>
  <c r="E120" i="17"/>
  <c r="C120" i="17"/>
  <c r="G119" i="17"/>
  <c r="E119" i="17"/>
  <c r="C119" i="17"/>
  <c r="C112" i="17"/>
  <c r="C111" i="17"/>
  <c r="C113" i="17" s="1"/>
  <c r="C105" i="17"/>
  <c r="C107" i="17" s="1"/>
  <c r="C102" i="17"/>
  <c r="C97" i="17"/>
  <c r="F97" i="17" s="1"/>
  <c r="C92" i="17"/>
  <c r="F92" i="17" s="1"/>
  <c r="C87" i="17"/>
  <c r="C82" i="17"/>
  <c r="H82" i="17" s="1"/>
  <c r="C75" i="17"/>
  <c r="C74" i="17"/>
  <c r="H74" i="17" s="1"/>
  <c r="C69" i="17"/>
  <c r="G68" i="17"/>
  <c r="H68" i="17" s="1"/>
  <c r="F68" i="17"/>
  <c r="C67" i="17"/>
  <c r="H67" i="17" s="1"/>
  <c r="G66" i="17"/>
  <c r="C66" i="17"/>
  <c r="F66" i="17" s="1"/>
  <c r="C65" i="17"/>
  <c r="F65" i="17" s="1"/>
  <c r="C64" i="17"/>
  <c r="C59" i="17"/>
  <c r="F59" i="17" s="1"/>
  <c r="C58" i="17"/>
  <c r="C60" i="17" s="1"/>
  <c r="H60" i="17" s="1"/>
  <c r="C56" i="17"/>
  <c r="F56" i="17" s="1"/>
  <c r="AB13" i="17"/>
  <c r="AA13" i="17"/>
  <c r="AB12" i="17"/>
  <c r="AA12" i="17"/>
  <c r="R8" i="17" s="1"/>
  <c r="Q8" i="17" s="1"/>
  <c r="AB5" i="17"/>
  <c r="AA5" i="17"/>
  <c r="AB4" i="17"/>
  <c r="AA4" i="17"/>
  <c r="I4" i="17"/>
  <c r="AB3" i="17"/>
  <c r="AA3" i="17"/>
  <c r="AB2" i="17"/>
  <c r="AA2" i="17"/>
  <c r="I98" i="20" l="1"/>
  <c r="I106" i="20" s="1"/>
  <c r="I21" i="20"/>
  <c r="R8" i="19"/>
  <c r="Q8" i="19" s="1"/>
  <c r="R8" i="21"/>
  <c r="Q8" i="21" s="1"/>
  <c r="R13" i="21"/>
  <c r="Q13" i="21" s="1"/>
  <c r="R3" i="21"/>
  <c r="Q3" i="21" s="1"/>
  <c r="H33" i="21"/>
  <c r="I125" i="20"/>
  <c r="I126" i="20" s="1"/>
  <c r="I69" i="20"/>
  <c r="I52" i="20"/>
  <c r="I120" i="20"/>
  <c r="I38" i="20"/>
  <c r="I105" i="20"/>
  <c r="I48" i="20"/>
  <c r="I53" i="20"/>
  <c r="E63" i="20"/>
  <c r="F63" i="20" s="1"/>
  <c r="G63" i="20" s="1"/>
  <c r="H63" i="20" s="1"/>
  <c r="I63" i="20" s="1"/>
  <c r="I34" i="20"/>
  <c r="I51" i="20"/>
  <c r="I109" i="20"/>
  <c r="I40" i="20"/>
  <c r="I49" i="20"/>
  <c r="I117" i="20"/>
  <c r="I47" i="20"/>
  <c r="I118" i="20"/>
  <c r="I35" i="20"/>
  <c r="I54" i="20"/>
  <c r="I72" i="20"/>
  <c r="I110" i="20"/>
  <c r="I58" i="20"/>
  <c r="I61" i="20"/>
  <c r="I73" i="20"/>
  <c r="E42" i="20"/>
  <c r="F42" i="20" s="1"/>
  <c r="G42" i="20" s="1"/>
  <c r="H42" i="20" s="1"/>
  <c r="I42" i="20" s="1"/>
  <c r="I71" i="20"/>
  <c r="I115" i="20"/>
  <c r="R3" i="20"/>
  <c r="Q3" i="20" s="1"/>
  <c r="I24" i="20"/>
  <c r="I39" i="20"/>
  <c r="I50" i="20"/>
  <c r="I62" i="20"/>
  <c r="I81" i="20"/>
  <c r="I82" i="20" s="1"/>
  <c r="E111" i="20"/>
  <c r="F111" i="20" s="1"/>
  <c r="G111" i="20" s="1"/>
  <c r="H111" i="20" s="1"/>
  <c r="I111" i="20" s="1"/>
  <c r="E55" i="20"/>
  <c r="F55" i="20" s="1"/>
  <c r="G55" i="20" s="1"/>
  <c r="H55" i="20" s="1"/>
  <c r="I55" i="20" s="1"/>
  <c r="I29" i="20"/>
  <c r="I32" i="20" s="1"/>
  <c r="I37" i="20"/>
  <c r="I46" i="20"/>
  <c r="I60" i="20"/>
  <c r="I121" i="20"/>
  <c r="I119" i="20"/>
  <c r="E30" i="20"/>
  <c r="F30" i="20" s="1"/>
  <c r="G30" i="20" s="1"/>
  <c r="H30" i="20" s="1"/>
  <c r="I30" i="20" s="1"/>
  <c r="E74" i="20"/>
  <c r="F74" i="20" s="1"/>
  <c r="G74" i="20" s="1"/>
  <c r="H74" i="20" s="1"/>
  <c r="I74" i="20" s="1"/>
  <c r="I70" i="20"/>
  <c r="I23" i="20"/>
  <c r="I25" i="20" s="1"/>
  <c r="I41" i="20"/>
  <c r="R13" i="20"/>
  <c r="Q13" i="20" s="1"/>
  <c r="E65" i="20"/>
  <c r="F65" i="20" s="1"/>
  <c r="G65" i="20" s="1"/>
  <c r="H65" i="20" s="1"/>
  <c r="I65" i="20" s="1"/>
  <c r="E43" i="20"/>
  <c r="F43" i="20" s="1"/>
  <c r="G43" i="20" s="1"/>
  <c r="H43" i="20" s="1"/>
  <c r="I43" i="20" s="1"/>
  <c r="I36" i="20"/>
  <c r="E64" i="20"/>
  <c r="F64" i="20" s="1"/>
  <c r="G64" i="20" s="1"/>
  <c r="H64" i="20" s="1"/>
  <c r="I64" i="20" s="1"/>
  <c r="I59" i="20"/>
  <c r="I23" i="19"/>
  <c r="I53" i="19"/>
  <c r="I105" i="19"/>
  <c r="I113" i="19"/>
  <c r="F29" i="19"/>
  <c r="I29" i="19" s="1"/>
  <c r="I20" i="19"/>
  <c r="I55" i="19"/>
  <c r="I97" i="19"/>
  <c r="I58" i="19"/>
  <c r="I117" i="19"/>
  <c r="I99" i="19"/>
  <c r="I112" i="19"/>
  <c r="F30" i="19"/>
  <c r="I30" i="19" s="1"/>
  <c r="I118" i="19"/>
  <c r="I114" i="19"/>
  <c r="H79" i="19"/>
  <c r="I79" i="19" s="1"/>
  <c r="R13" i="19"/>
  <c r="Q13" i="19" s="1"/>
  <c r="I45" i="19"/>
  <c r="I59" i="19"/>
  <c r="I115" i="19"/>
  <c r="I22" i="19"/>
  <c r="I107" i="19"/>
  <c r="R3" i="19"/>
  <c r="Q3" i="19" s="1"/>
  <c r="I17" i="19"/>
  <c r="I18" i="19" s="1"/>
  <c r="I102" i="19"/>
  <c r="I50" i="19"/>
  <c r="I81" i="19"/>
  <c r="I90" i="19"/>
  <c r="I74" i="19"/>
  <c r="I21" i="19"/>
  <c r="I96" i="19"/>
  <c r="I70" i="19"/>
  <c r="I28" i="19"/>
  <c r="F91" i="19"/>
  <c r="E92" i="19" s="1"/>
  <c r="H91" i="19"/>
  <c r="I75" i="19"/>
  <c r="I71" i="19"/>
  <c r="I98" i="19"/>
  <c r="I25" i="19"/>
  <c r="I35" i="19"/>
  <c r="I36" i="19" s="1"/>
  <c r="I56" i="19"/>
  <c r="I68" i="19"/>
  <c r="I86" i="19"/>
  <c r="I26" i="19"/>
  <c r="I38" i="19"/>
  <c r="I41" i="19"/>
  <c r="I48" i="19"/>
  <c r="I69" i="19"/>
  <c r="I111" i="19"/>
  <c r="I66" i="19"/>
  <c r="I100" i="19"/>
  <c r="E116" i="19"/>
  <c r="G116" i="19" s="1"/>
  <c r="H116" i="19" s="1"/>
  <c r="I39" i="19"/>
  <c r="I49" i="19"/>
  <c r="I67" i="19"/>
  <c r="I101" i="19"/>
  <c r="E87" i="19"/>
  <c r="I85" i="19"/>
  <c r="I65" i="19"/>
  <c r="H57" i="19"/>
  <c r="F57" i="19"/>
  <c r="E60" i="19" s="1"/>
  <c r="H27" i="19"/>
  <c r="F27" i="19"/>
  <c r="I54" i="19"/>
  <c r="E108" i="19"/>
  <c r="I104" i="19"/>
  <c r="I24" i="19"/>
  <c r="I31" i="19"/>
  <c r="I46" i="19"/>
  <c r="E76" i="19"/>
  <c r="F80" i="19"/>
  <c r="I80" i="19" s="1"/>
  <c r="F40" i="19"/>
  <c r="I40" i="19" s="1"/>
  <c r="I47" i="19"/>
  <c r="I54" i="18"/>
  <c r="I93" i="18"/>
  <c r="I94" i="18"/>
  <c r="I85" i="18"/>
  <c r="I91" i="18"/>
  <c r="I96" i="18"/>
  <c r="I109" i="18"/>
  <c r="I35" i="18"/>
  <c r="I76" i="18"/>
  <c r="I114" i="18"/>
  <c r="I121" i="18" s="1"/>
  <c r="I34" i="18"/>
  <c r="I33" i="18"/>
  <c r="I83" i="18"/>
  <c r="I107" i="18"/>
  <c r="I37" i="18"/>
  <c r="I44" i="18"/>
  <c r="I58" i="18"/>
  <c r="I52" i="18"/>
  <c r="I77" i="18"/>
  <c r="I119" i="18"/>
  <c r="I116" i="18"/>
  <c r="I120" i="18"/>
  <c r="I56" i="18"/>
  <c r="I62" i="18"/>
  <c r="I43" i="18"/>
  <c r="I50" i="18"/>
  <c r="I88" i="18"/>
  <c r="I102" i="18"/>
  <c r="I124" i="18"/>
  <c r="R3" i="18"/>
  <c r="Q3" i="18" s="1"/>
  <c r="E28" i="18"/>
  <c r="F28" i="18" s="1"/>
  <c r="G28" i="18" s="1"/>
  <c r="H28" i="18" s="1"/>
  <c r="I28" i="18" s="1"/>
  <c r="E39" i="18"/>
  <c r="F39" i="18" s="1"/>
  <c r="G39" i="18" s="1"/>
  <c r="H39" i="18" s="1"/>
  <c r="I39" i="18" s="1"/>
  <c r="I31" i="18"/>
  <c r="I42" i="18"/>
  <c r="I48" i="18"/>
  <c r="I60" i="18"/>
  <c r="I110" i="18"/>
  <c r="I117" i="18"/>
  <c r="I36" i="18"/>
  <c r="I75" i="18"/>
  <c r="I78" i="18"/>
  <c r="I89" i="18"/>
  <c r="I118" i="18"/>
  <c r="I123" i="18"/>
  <c r="I125" i="18" s="1"/>
  <c r="E38" i="18"/>
  <c r="F38" i="18" s="1"/>
  <c r="G38" i="18" s="1"/>
  <c r="H38" i="18" s="1"/>
  <c r="I38" i="18" s="1"/>
  <c r="E105" i="18"/>
  <c r="F105" i="18" s="1"/>
  <c r="G105" i="18" s="1"/>
  <c r="H105" i="18" s="1"/>
  <c r="I105" i="18" s="1"/>
  <c r="I46" i="18"/>
  <c r="I87" i="18"/>
  <c r="R13" i="18"/>
  <c r="Q13" i="18" s="1"/>
  <c r="I57" i="18"/>
  <c r="E80" i="18"/>
  <c r="F80" i="18" s="1"/>
  <c r="E81" i="18"/>
  <c r="F81" i="18" s="1"/>
  <c r="I74" i="18"/>
  <c r="E79" i="18"/>
  <c r="F79" i="18" s="1"/>
  <c r="E104" i="18"/>
  <c r="F104" i="18" s="1"/>
  <c r="I101" i="18"/>
  <c r="E103" i="18"/>
  <c r="F103" i="18" s="1"/>
  <c r="I32" i="18"/>
  <c r="E40" i="18"/>
  <c r="F40" i="18" s="1"/>
  <c r="G26" i="18"/>
  <c r="H26" i="18" s="1"/>
  <c r="I26" i="18" s="1"/>
  <c r="H141" i="17"/>
  <c r="H132" i="17"/>
  <c r="H142" i="17"/>
  <c r="H144" i="17"/>
  <c r="F105" i="17"/>
  <c r="H149" i="17"/>
  <c r="H66" i="17"/>
  <c r="I66" i="17" s="1"/>
  <c r="G228" i="17"/>
  <c r="H228" i="17" s="1"/>
  <c r="I228" i="17" s="1"/>
  <c r="H134" i="17"/>
  <c r="F58" i="17"/>
  <c r="H58" i="17"/>
  <c r="F135" i="17"/>
  <c r="F139" i="17"/>
  <c r="F141" i="17"/>
  <c r="G226" i="17"/>
  <c r="H226" i="17" s="1"/>
  <c r="I226" i="17" s="1"/>
  <c r="H59" i="17"/>
  <c r="I59" i="17" s="1"/>
  <c r="H124" i="17"/>
  <c r="F132" i="17"/>
  <c r="F134" i="17"/>
  <c r="F140" i="17"/>
  <c r="H147" i="17"/>
  <c r="F207" i="17"/>
  <c r="E209" i="17" s="1"/>
  <c r="F209" i="17" s="1"/>
  <c r="C70" i="17"/>
  <c r="F70" i="17" s="1"/>
  <c r="F82" i="17"/>
  <c r="I82" i="17" s="1"/>
  <c r="I83" i="17" s="1"/>
  <c r="F146" i="17"/>
  <c r="H211" i="17"/>
  <c r="H146" i="17"/>
  <c r="F217" i="17"/>
  <c r="I217" i="17" s="1"/>
  <c r="H139" i="17"/>
  <c r="F147" i="17"/>
  <c r="C106" i="17"/>
  <c r="H106" i="17" s="1"/>
  <c r="F145" i="17"/>
  <c r="H150" i="17"/>
  <c r="H145" i="17"/>
  <c r="F111" i="17"/>
  <c r="H140" i="17"/>
  <c r="F142" i="17"/>
  <c r="F149" i="17"/>
  <c r="H111" i="17"/>
  <c r="F124" i="17"/>
  <c r="F151" i="17"/>
  <c r="I193" i="17"/>
  <c r="H65" i="17"/>
  <c r="I65" i="17" s="1"/>
  <c r="C114" i="17"/>
  <c r="H114" i="17" s="1"/>
  <c r="H133" i="17"/>
  <c r="F119" i="17"/>
  <c r="F148" i="17"/>
  <c r="F150" i="17"/>
  <c r="H75" i="17"/>
  <c r="F75" i="17"/>
  <c r="F208" i="17"/>
  <c r="H208" i="17"/>
  <c r="R13" i="17"/>
  <c r="Q13" i="17" s="1"/>
  <c r="H69" i="17"/>
  <c r="F69" i="17"/>
  <c r="R3" i="17"/>
  <c r="Q3" i="17" s="1"/>
  <c r="F87" i="17"/>
  <c r="H87" i="17"/>
  <c r="F201" i="17"/>
  <c r="F120" i="17"/>
  <c r="F64" i="17"/>
  <c r="H120" i="17"/>
  <c r="H135" i="17"/>
  <c r="H56" i="17"/>
  <c r="I56" i="17" s="1"/>
  <c r="H64" i="17"/>
  <c r="F67" i="17"/>
  <c r="I67" i="17" s="1"/>
  <c r="H148" i="17"/>
  <c r="F211" i="17"/>
  <c r="H92" i="17"/>
  <c r="I92" i="17" s="1"/>
  <c r="I93" i="17" s="1"/>
  <c r="H105" i="17"/>
  <c r="I68" i="17"/>
  <c r="F144" i="17"/>
  <c r="H207" i="17"/>
  <c r="H119" i="17"/>
  <c r="F227" i="17"/>
  <c r="I227" i="17" s="1"/>
  <c r="H97" i="17"/>
  <c r="I97" i="17" s="1"/>
  <c r="I98" i="17" s="1"/>
  <c r="F143" i="17"/>
  <c r="H143" i="17"/>
  <c r="F60" i="17"/>
  <c r="I60" i="17" s="1"/>
  <c r="H151" i="17"/>
  <c r="F113" i="17"/>
  <c r="H113" i="17"/>
  <c r="H102" i="17"/>
  <c r="F102" i="17"/>
  <c r="F133" i="17"/>
  <c r="F107" i="17"/>
  <c r="H107" i="17"/>
  <c r="H112" i="17"/>
  <c r="F112" i="17"/>
  <c r="C61" i="17"/>
  <c r="I194" i="17"/>
  <c r="H225" i="17"/>
  <c r="I225" i="17" s="1"/>
  <c r="C202" i="17"/>
  <c r="H201" i="17"/>
  <c r="H212" i="17"/>
  <c r="F212" i="17"/>
  <c r="C76" i="17"/>
  <c r="F74" i="17"/>
  <c r="I74" i="17" s="1"/>
  <c r="C218" i="17"/>
  <c r="F223" i="17"/>
  <c r="I223" i="17" s="1"/>
  <c r="F229" i="17"/>
  <c r="I229" i="17" s="1"/>
  <c r="AA521" i="16"/>
  <c r="AB521" i="16"/>
  <c r="I231" i="17" l="1"/>
  <c r="I112" i="20"/>
  <c r="I122" i="20"/>
  <c r="I26" i="20"/>
  <c r="I195" i="17"/>
  <c r="I44" i="20"/>
  <c r="I56" i="20"/>
  <c r="I42" i="19"/>
  <c r="I75" i="20"/>
  <c r="E66" i="20"/>
  <c r="F66" i="20" s="1"/>
  <c r="G66" i="20" s="1"/>
  <c r="H66" i="20" s="1"/>
  <c r="I66" i="20" s="1"/>
  <c r="I67" i="20" s="1"/>
  <c r="F116" i="19"/>
  <c r="I116" i="19" s="1"/>
  <c r="G92" i="19"/>
  <c r="H92" i="19" s="1"/>
  <c r="F92" i="19"/>
  <c r="I27" i="19"/>
  <c r="I91" i="19"/>
  <c r="I57" i="19"/>
  <c r="F87" i="19"/>
  <c r="G87" i="19"/>
  <c r="H87" i="19" s="1"/>
  <c r="G108" i="19"/>
  <c r="H108" i="19" s="1"/>
  <c r="F108" i="19"/>
  <c r="G76" i="19"/>
  <c r="H76" i="19" s="1"/>
  <c r="F76" i="19"/>
  <c r="G60" i="19"/>
  <c r="H60" i="19" s="1"/>
  <c r="F60" i="19"/>
  <c r="E82" i="19"/>
  <c r="G103" i="18"/>
  <c r="H103" i="18" s="1"/>
  <c r="I103" i="18" s="1"/>
  <c r="I111" i="18" s="1"/>
  <c r="G104" i="18"/>
  <c r="H104" i="18" s="1"/>
  <c r="I104" i="18" s="1"/>
  <c r="G80" i="18"/>
  <c r="H80" i="18" s="1"/>
  <c r="I80" i="18" s="1"/>
  <c r="G79" i="18"/>
  <c r="H79" i="18" s="1"/>
  <c r="I79" i="18" s="1"/>
  <c r="I97" i="18" s="1"/>
  <c r="G40" i="18"/>
  <c r="H40" i="18" s="1"/>
  <c r="I40" i="18" s="1"/>
  <c r="I63" i="18" s="1"/>
  <c r="G81" i="18"/>
  <c r="H81" i="18" s="1"/>
  <c r="I81" i="18" s="1"/>
  <c r="I211" i="17"/>
  <c r="I119" i="17"/>
  <c r="I144" i="17"/>
  <c r="I132" i="17"/>
  <c r="I141" i="17"/>
  <c r="I142" i="17"/>
  <c r="I87" i="17"/>
  <c r="I88" i="17" s="1"/>
  <c r="I105" i="17"/>
  <c r="I208" i="17"/>
  <c r="I145" i="17"/>
  <c r="I201" i="17"/>
  <c r="I149" i="17"/>
  <c r="I69" i="17"/>
  <c r="I151" i="17"/>
  <c r="I75" i="17"/>
  <c r="I133" i="17"/>
  <c r="I135" i="17"/>
  <c r="H70" i="17"/>
  <c r="I70" i="17" s="1"/>
  <c r="I139" i="17"/>
  <c r="I58" i="17"/>
  <c r="I207" i="17"/>
  <c r="I147" i="17"/>
  <c r="I140" i="17"/>
  <c r="C108" i="17"/>
  <c r="H108" i="17" s="1"/>
  <c r="F106" i="17"/>
  <c r="I106" i="17" s="1"/>
  <c r="F114" i="17"/>
  <c r="I114" i="17" s="1"/>
  <c r="G209" i="17"/>
  <c r="H209" i="17" s="1"/>
  <c r="I209" i="17" s="1"/>
  <c r="I134" i="17"/>
  <c r="I146" i="17"/>
  <c r="I124" i="17"/>
  <c r="I148" i="17"/>
  <c r="I111" i="17"/>
  <c r="E213" i="17"/>
  <c r="F213" i="17" s="1"/>
  <c r="I212" i="17"/>
  <c r="I150" i="17"/>
  <c r="I112" i="17"/>
  <c r="I120" i="17"/>
  <c r="I64" i="17"/>
  <c r="H76" i="17"/>
  <c r="F76" i="17"/>
  <c r="H218" i="17"/>
  <c r="F218" i="17"/>
  <c r="E219" i="17" s="1"/>
  <c r="I143" i="17"/>
  <c r="H202" i="17"/>
  <c r="F202" i="17"/>
  <c r="E203" i="17" s="1"/>
  <c r="I102" i="17"/>
  <c r="I103" i="17" s="1"/>
  <c r="I113" i="17"/>
  <c r="C77" i="17"/>
  <c r="I107" i="17"/>
  <c r="F61" i="17"/>
  <c r="H61" i="17"/>
  <c r="F103" i="16"/>
  <c r="AB745" i="16"/>
  <c r="AA745" i="16"/>
  <c r="AB744" i="16"/>
  <c r="AA744" i="16"/>
  <c r="H743" i="16"/>
  <c r="F743" i="16"/>
  <c r="C740" i="16"/>
  <c r="F740" i="16" s="1"/>
  <c r="C738" i="16"/>
  <c r="F738" i="16" s="1"/>
  <c r="C737" i="16"/>
  <c r="F737" i="16" s="1"/>
  <c r="C736" i="16"/>
  <c r="F736" i="16" s="1"/>
  <c r="C735" i="16"/>
  <c r="F735" i="16" s="1"/>
  <c r="C734" i="16"/>
  <c r="F734" i="16" s="1"/>
  <c r="C733" i="16"/>
  <c r="F733" i="16" s="1"/>
  <c r="C732" i="16"/>
  <c r="G728" i="16"/>
  <c r="G727" i="16"/>
  <c r="E727" i="16"/>
  <c r="E726" i="16"/>
  <c r="C726" i="16"/>
  <c r="C727" i="16" s="1"/>
  <c r="G725" i="16"/>
  <c r="E725" i="16"/>
  <c r="C724" i="16"/>
  <c r="C728" i="16" s="1"/>
  <c r="C723" i="16"/>
  <c r="AB720" i="16"/>
  <c r="AA720" i="16"/>
  <c r="H720" i="16"/>
  <c r="E720" i="16"/>
  <c r="F720" i="16" s="1"/>
  <c r="AB719" i="16"/>
  <c r="AA719" i="16"/>
  <c r="G719" i="16"/>
  <c r="H719" i="16" s="1"/>
  <c r="F719" i="16"/>
  <c r="AB718" i="16"/>
  <c r="AA718" i="16"/>
  <c r="G718" i="16"/>
  <c r="H718" i="16" s="1"/>
  <c r="E718" i="16"/>
  <c r="F718" i="16" s="1"/>
  <c r="AB717" i="16"/>
  <c r="AA717" i="16"/>
  <c r="G717" i="16"/>
  <c r="H717" i="16" s="1"/>
  <c r="E717" i="16"/>
  <c r="F717" i="16" s="1"/>
  <c r="AB716" i="16"/>
  <c r="AA716" i="16"/>
  <c r="E716" i="16"/>
  <c r="F716" i="16" s="1"/>
  <c r="AB715" i="16"/>
  <c r="AA715" i="16"/>
  <c r="G715" i="16"/>
  <c r="E715" i="16"/>
  <c r="C715" i="16"/>
  <c r="AB714" i="16"/>
  <c r="AA714" i="16"/>
  <c r="H714" i="16"/>
  <c r="F714" i="16"/>
  <c r="AB713" i="16"/>
  <c r="AA713" i="16"/>
  <c r="H713" i="16"/>
  <c r="F713" i="16"/>
  <c r="AB712" i="16"/>
  <c r="AA712" i="16"/>
  <c r="H712" i="16"/>
  <c r="F712" i="16"/>
  <c r="AB711" i="16"/>
  <c r="AA711" i="16"/>
  <c r="AB709" i="16"/>
  <c r="AA709" i="16"/>
  <c r="G709" i="16"/>
  <c r="H709" i="16" s="1"/>
  <c r="F709" i="16"/>
  <c r="AB708" i="16"/>
  <c r="AA708" i="16"/>
  <c r="G708" i="16"/>
  <c r="H708" i="16" s="1"/>
  <c r="E708" i="16"/>
  <c r="F708" i="16" s="1"/>
  <c r="AB707" i="16"/>
  <c r="AA707" i="16"/>
  <c r="E707" i="16"/>
  <c r="F707" i="16" s="1"/>
  <c r="AB706" i="16"/>
  <c r="AA706" i="16"/>
  <c r="G706" i="16"/>
  <c r="E706" i="16"/>
  <c r="C706" i="16"/>
  <c r="AB705" i="16"/>
  <c r="AA705" i="16"/>
  <c r="H705" i="16"/>
  <c r="F705" i="16"/>
  <c r="AB704" i="16"/>
  <c r="AA704" i="16"/>
  <c r="H704" i="16"/>
  <c r="F704" i="16"/>
  <c r="AB703" i="16"/>
  <c r="AA703" i="16"/>
  <c r="H703" i="16"/>
  <c r="F703" i="16"/>
  <c r="AB702" i="16"/>
  <c r="AA702" i="16"/>
  <c r="H702" i="16"/>
  <c r="F702" i="16"/>
  <c r="AB701" i="16"/>
  <c r="AA701" i="16"/>
  <c r="H701" i="16"/>
  <c r="F701" i="16"/>
  <c r="AB700" i="16"/>
  <c r="AA700" i="16"/>
  <c r="AB699" i="16"/>
  <c r="AA699" i="16"/>
  <c r="AB697" i="16"/>
  <c r="AA697" i="16"/>
  <c r="G697" i="16"/>
  <c r="H697" i="16" s="1"/>
  <c r="F697" i="16"/>
  <c r="AB696" i="16"/>
  <c r="AA696" i="16"/>
  <c r="G696" i="16"/>
  <c r="H696" i="16" s="1"/>
  <c r="E696" i="16"/>
  <c r="F696" i="16" s="1"/>
  <c r="AB695" i="16"/>
  <c r="AA695" i="16"/>
  <c r="G695" i="16"/>
  <c r="H695" i="16" s="1"/>
  <c r="E695" i="16"/>
  <c r="F695" i="16" s="1"/>
  <c r="AB694" i="16"/>
  <c r="AA694" i="16"/>
  <c r="E694" i="16"/>
  <c r="F694" i="16" s="1"/>
  <c r="AB693" i="16"/>
  <c r="AA693" i="16"/>
  <c r="G693" i="16"/>
  <c r="E693" i="16"/>
  <c r="C693" i="16"/>
  <c r="AB692" i="16"/>
  <c r="AA692" i="16"/>
  <c r="H692" i="16"/>
  <c r="F692" i="16"/>
  <c r="AB691" i="16"/>
  <c r="AA691" i="16"/>
  <c r="H691" i="16"/>
  <c r="F691" i="16"/>
  <c r="AB690" i="16"/>
  <c r="AA690" i="16"/>
  <c r="H690" i="16"/>
  <c r="F690" i="16"/>
  <c r="AB689" i="16"/>
  <c r="AA689" i="16"/>
  <c r="AB687" i="16"/>
  <c r="AA687" i="16"/>
  <c r="G687" i="16"/>
  <c r="H687" i="16" s="1"/>
  <c r="F687" i="16"/>
  <c r="AB686" i="16"/>
  <c r="AA686" i="16"/>
  <c r="G686" i="16"/>
  <c r="H686" i="16" s="1"/>
  <c r="E686" i="16"/>
  <c r="F686" i="16" s="1"/>
  <c r="AB685" i="16"/>
  <c r="AA685" i="16"/>
  <c r="G685" i="16"/>
  <c r="H685" i="16" s="1"/>
  <c r="E685" i="16"/>
  <c r="F685" i="16" s="1"/>
  <c r="AB684" i="16"/>
  <c r="AA684" i="16"/>
  <c r="E684" i="16"/>
  <c r="F684" i="16" s="1"/>
  <c r="AB683" i="16"/>
  <c r="AA683" i="16"/>
  <c r="G683" i="16"/>
  <c r="E683" i="16"/>
  <c r="C683" i="16"/>
  <c r="AB682" i="16"/>
  <c r="AA682" i="16"/>
  <c r="H682" i="16"/>
  <c r="F682" i="16"/>
  <c r="AB681" i="16"/>
  <c r="AA681" i="16"/>
  <c r="H681" i="16"/>
  <c r="F681" i="16"/>
  <c r="AB680" i="16"/>
  <c r="AA680" i="16"/>
  <c r="H680" i="16"/>
  <c r="F680" i="16"/>
  <c r="AB679" i="16"/>
  <c r="AA679" i="16"/>
  <c r="F679" i="16"/>
  <c r="AB678" i="16"/>
  <c r="AA678" i="16"/>
  <c r="AB676" i="16"/>
  <c r="AA676" i="16"/>
  <c r="C676" i="16"/>
  <c r="H676" i="16" s="1"/>
  <c r="C675" i="16"/>
  <c r="G674" i="16"/>
  <c r="C674" i="16"/>
  <c r="F674" i="16" s="1"/>
  <c r="G673" i="16"/>
  <c r="C673" i="16"/>
  <c r="F673" i="16" s="1"/>
  <c r="G672" i="16"/>
  <c r="C672" i="16"/>
  <c r="F672" i="16" s="1"/>
  <c r="H671" i="16"/>
  <c r="E671" i="16"/>
  <c r="F671" i="16" s="1"/>
  <c r="H670" i="16"/>
  <c r="E670" i="16"/>
  <c r="F670" i="16" s="1"/>
  <c r="C669" i="16"/>
  <c r="AB668" i="16"/>
  <c r="AA668" i="16"/>
  <c r="H668" i="16"/>
  <c r="F668" i="16"/>
  <c r="AB667" i="16"/>
  <c r="AA667" i="16"/>
  <c r="H667" i="16"/>
  <c r="F667" i="16"/>
  <c r="H666" i="16"/>
  <c r="F666" i="16"/>
  <c r="AB665" i="16"/>
  <c r="AA665" i="16"/>
  <c r="G665" i="16"/>
  <c r="H665" i="16" s="1"/>
  <c r="F665" i="16"/>
  <c r="G664" i="16"/>
  <c r="H664" i="16" s="1"/>
  <c r="F664" i="16"/>
  <c r="AB663" i="16"/>
  <c r="AA663" i="16"/>
  <c r="H663" i="16"/>
  <c r="F663" i="16"/>
  <c r="AB662" i="16"/>
  <c r="AA662" i="16"/>
  <c r="AB659" i="16"/>
  <c r="AA659" i="16"/>
  <c r="G659" i="16"/>
  <c r="H659" i="16" s="1"/>
  <c r="F659" i="16"/>
  <c r="AB658" i="16"/>
  <c r="AA658" i="16"/>
  <c r="G658" i="16"/>
  <c r="H658" i="16" s="1"/>
  <c r="E658" i="16"/>
  <c r="F658" i="16" s="1"/>
  <c r="AB657" i="16"/>
  <c r="AA657" i="16"/>
  <c r="E657" i="16"/>
  <c r="F657" i="16" s="1"/>
  <c r="AB656" i="16"/>
  <c r="AA656" i="16"/>
  <c r="G656" i="16"/>
  <c r="E656" i="16"/>
  <c r="C656" i="16"/>
  <c r="AB655" i="16"/>
  <c r="AA655" i="16"/>
  <c r="H655" i="16"/>
  <c r="F655" i="16"/>
  <c r="AB654" i="16"/>
  <c r="AA654" i="16"/>
  <c r="F654" i="16"/>
  <c r="AB653" i="16"/>
  <c r="AA653" i="16"/>
  <c r="AB651" i="16"/>
  <c r="AA651" i="16"/>
  <c r="G651" i="16"/>
  <c r="H651" i="16" s="1"/>
  <c r="F651" i="16"/>
  <c r="AB650" i="16"/>
  <c r="AA650" i="16"/>
  <c r="G650" i="16"/>
  <c r="H650" i="16" s="1"/>
  <c r="E650" i="16"/>
  <c r="F650" i="16" s="1"/>
  <c r="AB649" i="16"/>
  <c r="AA649" i="16"/>
  <c r="G649" i="16"/>
  <c r="H649" i="16" s="1"/>
  <c r="E649" i="16"/>
  <c r="F649" i="16" s="1"/>
  <c r="AB648" i="16"/>
  <c r="AA648" i="16"/>
  <c r="E648" i="16"/>
  <c r="F648" i="16" s="1"/>
  <c r="AB647" i="16"/>
  <c r="AA647" i="16"/>
  <c r="G647" i="16"/>
  <c r="E647" i="16"/>
  <c r="C647" i="16"/>
  <c r="AB646" i="16"/>
  <c r="AA646" i="16"/>
  <c r="H646" i="16"/>
  <c r="F646" i="16"/>
  <c r="AB645" i="16"/>
  <c r="AA645" i="16"/>
  <c r="H645" i="16"/>
  <c r="F645" i="16"/>
  <c r="AB644" i="16"/>
  <c r="AA644" i="16"/>
  <c r="F644" i="16"/>
  <c r="AB643" i="16"/>
  <c r="AA643" i="16"/>
  <c r="AB642" i="16"/>
  <c r="AA642" i="16"/>
  <c r="AB639" i="16"/>
  <c r="AA639" i="16"/>
  <c r="G639" i="16"/>
  <c r="H639" i="16" s="1"/>
  <c r="F639" i="16"/>
  <c r="AB638" i="16"/>
  <c r="AA638" i="16"/>
  <c r="G638" i="16"/>
  <c r="H638" i="16" s="1"/>
  <c r="E638" i="16"/>
  <c r="F638" i="16" s="1"/>
  <c r="AB637" i="16"/>
  <c r="AA637" i="16"/>
  <c r="E637" i="16"/>
  <c r="F637" i="16" s="1"/>
  <c r="AB636" i="16"/>
  <c r="AA636" i="16"/>
  <c r="G636" i="16"/>
  <c r="E636" i="16"/>
  <c r="C636" i="16"/>
  <c r="AB635" i="16"/>
  <c r="AA635" i="16"/>
  <c r="H635" i="16"/>
  <c r="F635" i="16"/>
  <c r="AB634" i="16"/>
  <c r="AA634" i="16"/>
  <c r="F634" i="16"/>
  <c r="AB633" i="16"/>
  <c r="AA633" i="16"/>
  <c r="AB631" i="16"/>
  <c r="AA631" i="16"/>
  <c r="G631" i="16"/>
  <c r="H631" i="16" s="1"/>
  <c r="F631" i="16"/>
  <c r="AB630" i="16"/>
  <c r="AA630" i="16"/>
  <c r="G630" i="16"/>
  <c r="H630" i="16" s="1"/>
  <c r="E630" i="16"/>
  <c r="F630" i="16" s="1"/>
  <c r="AB629" i="16"/>
  <c r="AA629" i="16"/>
  <c r="E629" i="16"/>
  <c r="F629" i="16" s="1"/>
  <c r="AB628" i="16"/>
  <c r="AA628" i="16"/>
  <c r="G628" i="16"/>
  <c r="E628" i="16"/>
  <c r="C628" i="16"/>
  <c r="AB627" i="16"/>
  <c r="AA627" i="16"/>
  <c r="H627" i="16"/>
  <c r="F627" i="16"/>
  <c r="AB626" i="16"/>
  <c r="AA626" i="16"/>
  <c r="F626" i="16"/>
  <c r="AB625" i="16"/>
  <c r="AA625" i="16"/>
  <c r="AB624" i="16"/>
  <c r="AA624" i="16"/>
  <c r="AB621" i="16"/>
  <c r="AA621" i="16"/>
  <c r="G621" i="16"/>
  <c r="H621" i="16" s="1"/>
  <c r="F621" i="16"/>
  <c r="AB620" i="16"/>
  <c r="AA620" i="16"/>
  <c r="G620" i="16"/>
  <c r="H620" i="16" s="1"/>
  <c r="E620" i="16"/>
  <c r="F620" i="16" s="1"/>
  <c r="AB619" i="16"/>
  <c r="AA619" i="16"/>
  <c r="G619" i="16"/>
  <c r="H619" i="16" s="1"/>
  <c r="E619" i="16"/>
  <c r="F619" i="16" s="1"/>
  <c r="AB618" i="16"/>
  <c r="AA618" i="16"/>
  <c r="E618" i="16"/>
  <c r="F618" i="16" s="1"/>
  <c r="AB617" i="16"/>
  <c r="AA617" i="16"/>
  <c r="G617" i="16"/>
  <c r="E617" i="16"/>
  <c r="C617" i="16"/>
  <c r="AB616" i="16"/>
  <c r="AA616" i="16"/>
  <c r="H616" i="16"/>
  <c r="F616" i="16"/>
  <c r="AB615" i="16"/>
  <c r="AA615" i="16"/>
  <c r="H615" i="16"/>
  <c r="F615" i="16"/>
  <c r="AB614" i="16"/>
  <c r="AA614" i="16"/>
  <c r="F614" i="16"/>
  <c r="AB613" i="16"/>
  <c r="AA613" i="16"/>
  <c r="AB611" i="16"/>
  <c r="AA611" i="16"/>
  <c r="G611" i="16"/>
  <c r="H611" i="16" s="1"/>
  <c r="F611" i="16"/>
  <c r="AB610" i="16"/>
  <c r="AA610" i="16"/>
  <c r="G610" i="16"/>
  <c r="H610" i="16" s="1"/>
  <c r="E610" i="16"/>
  <c r="F610" i="16" s="1"/>
  <c r="AB609" i="16"/>
  <c r="AA609" i="16"/>
  <c r="G609" i="16"/>
  <c r="H609" i="16" s="1"/>
  <c r="E609" i="16"/>
  <c r="F609" i="16" s="1"/>
  <c r="AB608" i="16"/>
  <c r="AA608" i="16"/>
  <c r="E608" i="16"/>
  <c r="F608" i="16" s="1"/>
  <c r="AB607" i="16"/>
  <c r="AA607" i="16"/>
  <c r="G607" i="16"/>
  <c r="E607" i="16"/>
  <c r="C607" i="16"/>
  <c r="AB606" i="16"/>
  <c r="AA606" i="16"/>
  <c r="H606" i="16"/>
  <c r="F606" i="16"/>
  <c r="AB605" i="16"/>
  <c r="AA605" i="16"/>
  <c r="H605" i="16"/>
  <c r="F605" i="16"/>
  <c r="AB604" i="16"/>
  <c r="AA604" i="16"/>
  <c r="F604" i="16"/>
  <c r="AB603" i="16"/>
  <c r="AA603" i="16"/>
  <c r="AB601" i="16"/>
  <c r="AA601" i="16"/>
  <c r="G601" i="16"/>
  <c r="H601" i="16" s="1"/>
  <c r="F601" i="16"/>
  <c r="AB600" i="16"/>
  <c r="AA600" i="16"/>
  <c r="G600" i="16"/>
  <c r="H600" i="16" s="1"/>
  <c r="E600" i="16"/>
  <c r="F600" i="16" s="1"/>
  <c r="AB599" i="16"/>
  <c r="AA599" i="16"/>
  <c r="G599" i="16"/>
  <c r="H599" i="16" s="1"/>
  <c r="E599" i="16"/>
  <c r="F599" i="16" s="1"/>
  <c r="AB598" i="16"/>
  <c r="AA598" i="16"/>
  <c r="E598" i="16"/>
  <c r="F598" i="16" s="1"/>
  <c r="AB597" i="16"/>
  <c r="AA597" i="16"/>
  <c r="G597" i="16"/>
  <c r="E597" i="16"/>
  <c r="C597" i="16"/>
  <c r="AB596" i="16"/>
  <c r="AA596" i="16"/>
  <c r="H596" i="16"/>
  <c r="F596" i="16"/>
  <c r="AB595" i="16"/>
  <c r="AA595" i="16"/>
  <c r="H595" i="16"/>
  <c r="F595" i="16"/>
  <c r="AB594" i="16"/>
  <c r="AA594" i="16"/>
  <c r="F594" i="16"/>
  <c r="AB593" i="16"/>
  <c r="AA593" i="16"/>
  <c r="AB591" i="16"/>
  <c r="AA591" i="16"/>
  <c r="G591" i="16"/>
  <c r="H591" i="16" s="1"/>
  <c r="F591" i="16"/>
  <c r="AB590" i="16"/>
  <c r="AA590" i="16"/>
  <c r="G590" i="16"/>
  <c r="H590" i="16" s="1"/>
  <c r="E590" i="16"/>
  <c r="F590" i="16" s="1"/>
  <c r="AB589" i="16"/>
  <c r="AA589" i="16"/>
  <c r="G589" i="16"/>
  <c r="H589" i="16" s="1"/>
  <c r="E589" i="16"/>
  <c r="F589" i="16" s="1"/>
  <c r="AB588" i="16"/>
  <c r="AA588" i="16"/>
  <c r="E588" i="16"/>
  <c r="F588" i="16" s="1"/>
  <c r="AB587" i="16"/>
  <c r="AA587" i="16"/>
  <c r="G587" i="16"/>
  <c r="E587" i="16"/>
  <c r="C587" i="16"/>
  <c r="AB586" i="16"/>
  <c r="AA586" i="16"/>
  <c r="H586" i="16"/>
  <c r="F586" i="16"/>
  <c r="AB585" i="16"/>
  <c r="AA585" i="16"/>
  <c r="H585" i="16"/>
  <c r="F585" i="16"/>
  <c r="AB584" i="16"/>
  <c r="AA584" i="16"/>
  <c r="F584" i="16"/>
  <c r="AB583" i="16"/>
  <c r="AA583" i="16"/>
  <c r="AB581" i="16"/>
  <c r="AA581" i="16"/>
  <c r="G581" i="16"/>
  <c r="H581" i="16" s="1"/>
  <c r="F581" i="16"/>
  <c r="AB580" i="16"/>
  <c r="AA580" i="16"/>
  <c r="G580" i="16"/>
  <c r="H580" i="16" s="1"/>
  <c r="E580" i="16"/>
  <c r="F580" i="16" s="1"/>
  <c r="AB579" i="16"/>
  <c r="AA579" i="16"/>
  <c r="G579" i="16"/>
  <c r="H579" i="16" s="1"/>
  <c r="E579" i="16"/>
  <c r="F579" i="16" s="1"/>
  <c r="AB578" i="16"/>
  <c r="AA578" i="16"/>
  <c r="E578" i="16"/>
  <c r="F578" i="16" s="1"/>
  <c r="AB577" i="16"/>
  <c r="AA577" i="16"/>
  <c r="G577" i="16"/>
  <c r="E577" i="16"/>
  <c r="C577" i="16"/>
  <c r="AB576" i="16"/>
  <c r="AA576" i="16"/>
  <c r="H576" i="16"/>
  <c r="F576" i="16"/>
  <c r="AB575" i="16"/>
  <c r="AA575" i="16"/>
  <c r="H575" i="16"/>
  <c r="F575" i="16"/>
  <c r="AB574" i="16"/>
  <c r="AA574" i="16"/>
  <c r="F574" i="16"/>
  <c r="AB573" i="16"/>
  <c r="AA573" i="16"/>
  <c r="AB571" i="16"/>
  <c r="AA571" i="16"/>
  <c r="G571" i="16"/>
  <c r="H571" i="16" s="1"/>
  <c r="F571" i="16"/>
  <c r="AB570" i="16"/>
  <c r="AA570" i="16"/>
  <c r="G570" i="16"/>
  <c r="H570" i="16" s="1"/>
  <c r="E570" i="16"/>
  <c r="F570" i="16" s="1"/>
  <c r="AB569" i="16"/>
  <c r="AA569" i="16"/>
  <c r="G569" i="16"/>
  <c r="H569" i="16" s="1"/>
  <c r="E569" i="16"/>
  <c r="F569" i="16" s="1"/>
  <c r="AB568" i="16"/>
  <c r="AA568" i="16"/>
  <c r="E568" i="16"/>
  <c r="F568" i="16" s="1"/>
  <c r="AB567" i="16"/>
  <c r="AA567" i="16"/>
  <c r="G567" i="16"/>
  <c r="E567" i="16"/>
  <c r="C567" i="16"/>
  <c r="AB566" i="16"/>
  <c r="AA566" i="16"/>
  <c r="H566" i="16"/>
  <c r="F566" i="16"/>
  <c r="AB565" i="16"/>
  <c r="AA565" i="16"/>
  <c r="H565" i="16"/>
  <c r="F565" i="16"/>
  <c r="AB564" i="16"/>
  <c r="AA564" i="16"/>
  <c r="F564" i="16"/>
  <c r="AB563" i="16"/>
  <c r="AA563" i="16"/>
  <c r="AB561" i="16"/>
  <c r="AA561" i="16"/>
  <c r="G561" i="16"/>
  <c r="H561" i="16" s="1"/>
  <c r="F561" i="16"/>
  <c r="AB560" i="16"/>
  <c r="AA560" i="16"/>
  <c r="G560" i="16"/>
  <c r="H560" i="16" s="1"/>
  <c r="E560" i="16"/>
  <c r="F560" i="16" s="1"/>
  <c r="AB559" i="16"/>
  <c r="AA559" i="16"/>
  <c r="G559" i="16"/>
  <c r="H559" i="16" s="1"/>
  <c r="E559" i="16"/>
  <c r="F559" i="16" s="1"/>
  <c r="AB558" i="16"/>
  <c r="AA558" i="16"/>
  <c r="E558" i="16"/>
  <c r="F558" i="16" s="1"/>
  <c r="AB557" i="16"/>
  <c r="AA557" i="16"/>
  <c r="G557" i="16"/>
  <c r="E557" i="16"/>
  <c r="C557" i="16"/>
  <c r="AB556" i="16"/>
  <c r="AA556" i="16"/>
  <c r="H556" i="16"/>
  <c r="F556" i="16"/>
  <c r="AB555" i="16"/>
  <c r="AA555" i="16"/>
  <c r="H555" i="16"/>
  <c r="F555" i="16"/>
  <c r="AB554" i="16"/>
  <c r="AA554" i="16"/>
  <c r="F554" i="16"/>
  <c r="AB553" i="16"/>
  <c r="AA553" i="16"/>
  <c r="AB551" i="16"/>
  <c r="AA551" i="16"/>
  <c r="G551" i="16"/>
  <c r="H551" i="16" s="1"/>
  <c r="F551" i="16"/>
  <c r="AB550" i="16"/>
  <c r="AA550" i="16"/>
  <c r="G550" i="16"/>
  <c r="H550" i="16" s="1"/>
  <c r="E550" i="16"/>
  <c r="F550" i="16" s="1"/>
  <c r="AB549" i="16"/>
  <c r="AA549" i="16"/>
  <c r="G549" i="16"/>
  <c r="H549" i="16" s="1"/>
  <c r="E549" i="16"/>
  <c r="F549" i="16" s="1"/>
  <c r="AB548" i="16"/>
  <c r="AA548" i="16"/>
  <c r="E548" i="16"/>
  <c r="F548" i="16" s="1"/>
  <c r="AB547" i="16"/>
  <c r="AA547" i="16"/>
  <c r="G547" i="16"/>
  <c r="E547" i="16"/>
  <c r="C547" i="16"/>
  <c r="AB546" i="16"/>
  <c r="AA546" i="16"/>
  <c r="H546" i="16"/>
  <c r="F546" i="16"/>
  <c r="AB545" i="16"/>
  <c r="AA545" i="16"/>
  <c r="H545" i="16"/>
  <c r="F545" i="16"/>
  <c r="AB544" i="16"/>
  <c r="AA544" i="16"/>
  <c r="F544" i="16"/>
  <c r="AB543" i="16"/>
  <c r="AA543" i="16"/>
  <c r="AB541" i="16"/>
  <c r="AA541" i="16"/>
  <c r="G541" i="16"/>
  <c r="H541" i="16" s="1"/>
  <c r="F541" i="16"/>
  <c r="AB540" i="16"/>
  <c r="AA540" i="16"/>
  <c r="G540" i="16"/>
  <c r="H540" i="16" s="1"/>
  <c r="E540" i="16"/>
  <c r="F540" i="16" s="1"/>
  <c r="AB539" i="16"/>
  <c r="AA539" i="16"/>
  <c r="G539" i="16"/>
  <c r="H539" i="16" s="1"/>
  <c r="E539" i="16"/>
  <c r="F539" i="16" s="1"/>
  <c r="AB538" i="16"/>
  <c r="AA538" i="16"/>
  <c r="E538" i="16"/>
  <c r="F538" i="16" s="1"/>
  <c r="AB537" i="16"/>
  <c r="AA537" i="16"/>
  <c r="G537" i="16"/>
  <c r="E537" i="16"/>
  <c r="C537" i="16"/>
  <c r="AB536" i="16"/>
  <c r="AA536" i="16"/>
  <c r="H536" i="16"/>
  <c r="F536" i="16"/>
  <c r="AB535" i="16"/>
  <c r="AA535" i="16"/>
  <c r="H535" i="16"/>
  <c r="F535" i="16"/>
  <c r="AB534" i="16"/>
  <c r="AA534" i="16"/>
  <c r="F534" i="16"/>
  <c r="AB533" i="16"/>
  <c r="AA533" i="16"/>
  <c r="AB532" i="16"/>
  <c r="AA532" i="16"/>
  <c r="AB529" i="16"/>
  <c r="AA529" i="16"/>
  <c r="G529" i="16"/>
  <c r="H529" i="16" s="1"/>
  <c r="F529" i="16"/>
  <c r="AB528" i="16"/>
  <c r="AA528" i="16"/>
  <c r="G528" i="16"/>
  <c r="H528" i="16" s="1"/>
  <c r="E528" i="16"/>
  <c r="F528" i="16" s="1"/>
  <c r="AB527" i="16"/>
  <c r="AA527" i="16"/>
  <c r="G527" i="16"/>
  <c r="H527" i="16" s="1"/>
  <c r="E527" i="16"/>
  <c r="F527" i="16" s="1"/>
  <c r="AB526" i="16"/>
  <c r="AA526" i="16"/>
  <c r="E526" i="16"/>
  <c r="F526" i="16" s="1"/>
  <c r="AB525" i="16"/>
  <c r="AA525" i="16"/>
  <c r="G525" i="16"/>
  <c r="E525" i="16"/>
  <c r="C525" i="16"/>
  <c r="AB524" i="16"/>
  <c r="AA524" i="16"/>
  <c r="H524" i="16"/>
  <c r="F524" i="16"/>
  <c r="AB523" i="16"/>
  <c r="AA523" i="16"/>
  <c r="H523" i="16"/>
  <c r="F523" i="16"/>
  <c r="AB522" i="16"/>
  <c r="AA522" i="16"/>
  <c r="F522" i="16"/>
  <c r="AB519" i="16"/>
  <c r="AA519" i="16"/>
  <c r="G519" i="16"/>
  <c r="H519" i="16" s="1"/>
  <c r="F519" i="16"/>
  <c r="AB518" i="16"/>
  <c r="AA518" i="16"/>
  <c r="G518" i="16"/>
  <c r="H518" i="16" s="1"/>
  <c r="E518" i="16"/>
  <c r="F518" i="16" s="1"/>
  <c r="AB517" i="16"/>
  <c r="AA517" i="16"/>
  <c r="G517" i="16"/>
  <c r="H517" i="16" s="1"/>
  <c r="E517" i="16"/>
  <c r="F517" i="16" s="1"/>
  <c r="AB516" i="16"/>
  <c r="AA516" i="16"/>
  <c r="E516" i="16"/>
  <c r="F516" i="16" s="1"/>
  <c r="AB515" i="16"/>
  <c r="AA515" i="16"/>
  <c r="G515" i="16"/>
  <c r="E515" i="16"/>
  <c r="C515" i="16"/>
  <c r="AB514" i="16"/>
  <c r="AA514" i="16"/>
  <c r="H514" i="16"/>
  <c r="F514" i="16"/>
  <c r="AB513" i="16"/>
  <c r="AA513" i="16"/>
  <c r="H513" i="16"/>
  <c r="F513" i="16"/>
  <c r="AB512" i="16"/>
  <c r="AA512" i="16"/>
  <c r="F512" i="16"/>
  <c r="AB511" i="16"/>
  <c r="AA511" i="16"/>
  <c r="AB509" i="16"/>
  <c r="AA509" i="16"/>
  <c r="G509" i="16"/>
  <c r="H509" i="16" s="1"/>
  <c r="F509" i="16"/>
  <c r="AB508" i="16"/>
  <c r="AA508" i="16"/>
  <c r="G508" i="16"/>
  <c r="H508" i="16" s="1"/>
  <c r="E508" i="16"/>
  <c r="F508" i="16" s="1"/>
  <c r="AB507" i="16"/>
  <c r="AA507" i="16"/>
  <c r="G507" i="16"/>
  <c r="H507" i="16" s="1"/>
  <c r="E507" i="16"/>
  <c r="F507" i="16" s="1"/>
  <c r="AB506" i="16"/>
  <c r="AA506" i="16"/>
  <c r="E506" i="16"/>
  <c r="F506" i="16" s="1"/>
  <c r="AB505" i="16"/>
  <c r="AA505" i="16"/>
  <c r="G505" i="16"/>
  <c r="E505" i="16"/>
  <c r="C505" i="16"/>
  <c r="AB504" i="16"/>
  <c r="AA504" i="16"/>
  <c r="H504" i="16"/>
  <c r="F504" i="16"/>
  <c r="AB503" i="16"/>
  <c r="AA503" i="16"/>
  <c r="H503" i="16"/>
  <c r="F503" i="16"/>
  <c r="AB502" i="16"/>
  <c r="AA502" i="16"/>
  <c r="F502" i="16"/>
  <c r="AB501" i="16"/>
  <c r="AA501" i="16"/>
  <c r="AB499" i="16"/>
  <c r="AA499" i="16"/>
  <c r="G499" i="16"/>
  <c r="H499" i="16" s="1"/>
  <c r="F499" i="16"/>
  <c r="AB498" i="16"/>
  <c r="AA498" i="16"/>
  <c r="G498" i="16"/>
  <c r="H498" i="16" s="1"/>
  <c r="E498" i="16"/>
  <c r="F498" i="16" s="1"/>
  <c r="AB497" i="16"/>
  <c r="AA497" i="16"/>
  <c r="G497" i="16"/>
  <c r="H497" i="16" s="1"/>
  <c r="E497" i="16"/>
  <c r="F497" i="16" s="1"/>
  <c r="AB496" i="16"/>
  <c r="AA496" i="16"/>
  <c r="E496" i="16"/>
  <c r="F496" i="16" s="1"/>
  <c r="AB495" i="16"/>
  <c r="AA495" i="16"/>
  <c r="G495" i="16"/>
  <c r="E495" i="16"/>
  <c r="C495" i="16"/>
  <c r="AB494" i="16"/>
  <c r="AA494" i="16"/>
  <c r="H494" i="16"/>
  <c r="F494" i="16"/>
  <c r="AB493" i="16"/>
  <c r="AA493" i="16"/>
  <c r="H493" i="16"/>
  <c r="F493" i="16"/>
  <c r="AB492" i="16"/>
  <c r="AA492" i="16"/>
  <c r="F492" i="16"/>
  <c r="AB491" i="16"/>
  <c r="AA491" i="16"/>
  <c r="AB489" i="16"/>
  <c r="AA489" i="16"/>
  <c r="G489" i="16"/>
  <c r="H489" i="16" s="1"/>
  <c r="F489" i="16"/>
  <c r="AB488" i="16"/>
  <c r="AA488" i="16"/>
  <c r="G488" i="16"/>
  <c r="H488" i="16" s="1"/>
  <c r="E488" i="16"/>
  <c r="F488" i="16" s="1"/>
  <c r="AB487" i="16"/>
  <c r="AA487" i="16"/>
  <c r="G487" i="16"/>
  <c r="H487" i="16" s="1"/>
  <c r="E487" i="16"/>
  <c r="F487" i="16" s="1"/>
  <c r="AB486" i="16"/>
  <c r="AA486" i="16"/>
  <c r="E486" i="16"/>
  <c r="F486" i="16" s="1"/>
  <c r="AB485" i="16"/>
  <c r="AA485" i="16"/>
  <c r="G485" i="16"/>
  <c r="E485" i="16"/>
  <c r="C485" i="16"/>
  <c r="AB484" i="16"/>
  <c r="AA484" i="16"/>
  <c r="H484" i="16"/>
  <c r="F484" i="16"/>
  <c r="AB483" i="16"/>
  <c r="AA483" i="16"/>
  <c r="H483" i="16"/>
  <c r="F483" i="16"/>
  <c r="AB482" i="16"/>
  <c r="AA482" i="16"/>
  <c r="F482" i="16"/>
  <c r="AB481" i="16"/>
  <c r="AA481" i="16"/>
  <c r="AB480" i="16"/>
  <c r="AA480" i="16"/>
  <c r="G477" i="16"/>
  <c r="H477" i="16" s="1"/>
  <c r="E477" i="16"/>
  <c r="F477" i="16" s="1"/>
  <c r="E476" i="16"/>
  <c r="F476" i="16" s="1"/>
  <c r="G475" i="16"/>
  <c r="E475" i="16"/>
  <c r="C475" i="16"/>
  <c r="C474" i="16"/>
  <c r="F473" i="16"/>
  <c r="H472" i="16"/>
  <c r="F472" i="16"/>
  <c r="AB469" i="16"/>
  <c r="AA469" i="16"/>
  <c r="G469" i="16"/>
  <c r="H469" i="16" s="1"/>
  <c r="F469" i="16"/>
  <c r="AB468" i="16"/>
  <c r="AA468" i="16"/>
  <c r="G468" i="16"/>
  <c r="H468" i="16" s="1"/>
  <c r="E468" i="16"/>
  <c r="F468" i="16" s="1"/>
  <c r="AB467" i="16"/>
  <c r="AA467" i="16"/>
  <c r="E467" i="16"/>
  <c r="F467" i="16" s="1"/>
  <c r="AB466" i="16"/>
  <c r="AA466" i="16"/>
  <c r="G466" i="16"/>
  <c r="E466" i="16"/>
  <c r="C466" i="16"/>
  <c r="AB465" i="16"/>
  <c r="AA465" i="16"/>
  <c r="H465" i="16"/>
  <c r="F465" i="16"/>
  <c r="AB464" i="16"/>
  <c r="AA464" i="16"/>
  <c r="C464" i="16"/>
  <c r="AB463" i="16"/>
  <c r="AA463" i="16"/>
  <c r="F463" i="16"/>
  <c r="AB462" i="16"/>
  <c r="AA462" i="16"/>
  <c r="C462" i="16"/>
  <c r="AB461" i="16"/>
  <c r="AA461" i="16"/>
  <c r="AB459" i="16"/>
  <c r="AA459" i="16"/>
  <c r="G459" i="16"/>
  <c r="H459" i="16" s="1"/>
  <c r="F459" i="16"/>
  <c r="AB458" i="16"/>
  <c r="AA458" i="16"/>
  <c r="G458" i="16"/>
  <c r="H458" i="16" s="1"/>
  <c r="E458" i="16"/>
  <c r="F458" i="16" s="1"/>
  <c r="AB457" i="16"/>
  <c r="AA457" i="16"/>
  <c r="E457" i="16"/>
  <c r="F457" i="16" s="1"/>
  <c r="AB456" i="16"/>
  <c r="AA456" i="16"/>
  <c r="G456" i="16"/>
  <c r="E456" i="16"/>
  <c r="C456" i="16"/>
  <c r="AB455" i="16"/>
  <c r="AA455" i="16"/>
  <c r="H455" i="16"/>
  <c r="F455" i="16"/>
  <c r="AB454" i="16"/>
  <c r="AA454" i="16"/>
  <c r="F454" i="16"/>
  <c r="AB453" i="16"/>
  <c r="AA453" i="16"/>
  <c r="AB452" i="16"/>
  <c r="AA452" i="16"/>
  <c r="AB449" i="16"/>
  <c r="AA449" i="16"/>
  <c r="G449" i="16"/>
  <c r="H449" i="16" s="1"/>
  <c r="F449" i="16"/>
  <c r="AB448" i="16"/>
  <c r="AA448" i="16"/>
  <c r="G448" i="16"/>
  <c r="H448" i="16" s="1"/>
  <c r="E448" i="16"/>
  <c r="F448" i="16" s="1"/>
  <c r="AB447" i="16"/>
  <c r="AA447" i="16"/>
  <c r="G447" i="16"/>
  <c r="H447" i="16" s="1"/>
  <c r="E447" i="16"/>
  <c r="F447" i="16" s="1"/>
  <c r="AB446" i="16"/>
  <c r="AA446" i="16"/>
  <c r="E446" i="16"/>
  <c r="F446" i="16" s="1"/>
  <c r="AB445" i="16"/>
  <c r="AA445" i="16"/>
  <c r="G445" i="16"/>
  <c r="E445" i="16"/>
  <c r="C445" i="16"/>
  <c r="AB444" i="16"/>
  <c r="AA444" i="16"/>
  <c r="H444" i="16"/>
  <c r="F444" i="16"/>
  <c r="AB443" i="16"/>
  <c r="AA443" i="16"/>
  <c r="H443" i="16"/>
  <c r="F443" i="16"/>
  <c r="AB442" i="16"/>
  <c r="AA442" i="16"/>
  <c r="F442" i="16"/>
  <c r="AB441" i="16"/>
  <c r="AA441" i="16"/>
  <c r="AB439" i="16"/>
  <c r="AA439" i="16"/>
  <c r="G439" i="16"/>
  <c r="H439" i="16" s="1"/>
  <c r="F439" i="16"/>
  <c r="AB438" i="16"/>
  <c r="AA438" i="16"/>
  <c r="G438" i="16"/>
  <c r="H438" i="16" s="1"/>
  <c r="E438" i="16"/>
  <c r="F438" i="16" s="1"/>
  <c r="AB437" i="16"/>
  <c r="AA437" i="16"/>
  <c r="G437" i="16"/>
  <c r="H437" i="16" s="1"/>
  <c r="E437" i="16"/>
  <c r="F437" i="16" s="1"/>
  <c r="AB436" i="16"/>
  <c r="AA436" i="16"/>
  <c r="E436" i="16"/>
  <c r="F436" i="16" s="1"/>
  <c r="AB435" i="16"/>
  <c r="AA435" i="16"/>
  <c r="G435" i="16"/>
  <c r="E435" i="16"/>
  <c r="C435" i="16"/>
  <c r="AB434" i="16"/>
  <c r="AA434" i="16"/>
  <c r="H434" i="16"/>
  <c r="F434" i="16"/>
  <c r="AB433" i="16"/>
  <c r="AA433" i="16"/>
  <c r="H433" i="16"/>
  <c r="F433" i="16"/>
  <c r="AB432" i="16"/>
  <c r="AA432" i="16"/>
  <c r="F432" i="16"/>
  <c r="AB431" i="16"/>
  <c r="AA431" i="16"/>
  <c r="AB429" i="16"/>
  <c r="AA429" i="16"/>
  <c r="G429" i="16"/>
  <c r="H429" i="16" s="1"/>
  <c r="F429" i="16"/>
  <c r="AB428" i="16"/>
  <c r="AA428" i="16"/>
  <c r="G428" i="16"/>
  <c r="H428" i="16" s="1"/>
  <c r="E428" i="16"/>
  <c r="F428" i="16" s="1"/>
  <c r="AB427" i="16"/>
  <c r="AA427" i="16"/>
  <c r="G427" i="16"/>
  <c r="H427" i="16" s="1"/>
  <c r="E427" i="16"/>
  <c r="F427" i="16" s="1"/>
  <c r="AB426" i="16"/>
  <c r="AA426" i="16"/>
  <c r="E426" i="16"/>
  <c r="F426" i="16" s="1"/>
  <c r="AB425" i="16"/>
  <c r="AA425" i="16"/>
  <c r="G425" i="16"/>
  <c r="E425" i="16"/>
  <c r="C425" i="16"/>
  <c r="AB424" i="16"/>
  <c r="AA424" i="16"/>
  <c r="H424" i="16"/>
  <c r="F424" i="16"/>
  <c r="AB423" i="16"/>
  <c r="AA423" i="16"/>
  <c r="H423" i="16"/>
  <c r="F423" i="16"/>
  <c r="AB422" i="16"/>
  <c r="AA422" i="16"/>
  <c r="F422" i="16"/>
  <c r="AB421" i="16"/>
  <c r="AA421" i="16"/>
  <c r="AB419" i="16"/>
  <c r="AA419" i="16"/>
  <c r="G419" i="16"/>
  <c r="H419" i="16" s="1"/>
  <c r="F419" i="16"/>
  <c r="AB418" i="16"/>
  <c r="AA418" i="16"/>
  <c r="G418" i="16"/>
  <c r="H418" i="16" s="1"/>
  <c r="E418" i="16"/>
  <c r="F418" i="16" s="1"/>
  <c r="AB417" i="16"/>
  <c r="AA417" i="16"/>
  <c r="G417" i="16"/>
  <c r="H417" i="16" s="1"/>
  <c r="E417" i="16"/>
  <c r="F417" i="16" s="1"/>
  <c r="AB416" i="16"/>
  <c r="AA416" i="16"/>
  <c r="E416" i="16"/>
  <c r="F416" i="16" s="1"/>
  <c r="AB415" i="16"/>
  <c r="AA415" i="16"/>
  <c r="G415" i="16"/>
  <c r="E415" i="16"/>
  <c r="C415" i="16"/>
  <c r="AB414" i="16"/>
  <c r="AA414" i="16"/>
  <c r="H414" i="16"/>
  <c r="F414" i="16"/>
  <c r="AB413" i="16"/>
  <c r="AA413" i="16"/>
  <c r="H413" i="16"/>
  <c r="F413" i="16"/>
  <c r="AB412" i="16"/>
  <c r="AA412" i="16"/>
  <c r="F412" i="16"/>
  <c r="AB411" i="16"/>
  <c r="AA411" i="16"/>
  <c r="AB409" i="16"/>
  <c r="AA409" i="16"/>
  <c r="G409" i="16"/>
  <c r="H409" i="16" s="1"/>
  <c r="F409" i="16"/>
  <c r="AB408" i="16"/>
  <c r="AA408" i="16"/>
  <c r="G408" i="16"/>
  <c r="H408" i="16" s="1"/>
  <c r="E408" i="16"/>
  <c r="F408" i="16" s="1"/>
  <c r="AB407" i="16"/>
  <c r="AA407" i="16"/>
  <c r="G407" i="16"/>
  <c r="H407" i="16" s="1"/>
  <c r="E407" i="16"/>
  <c r="F407" i="16" s="1"/>
  <c r="AB406" i="16"/>
  <c r="AA406" i="16"/>
  <c r="E406" i="16"/>
  <c r="F406" i="16" s="1"/>
  <c r="AB405" i="16"/>
  <c r="AA405" i="16"/>
  <c r="G405" i="16"/>
  <c r="E405" i="16"/>
  <c r="C405" i="16"/>
  <c r="AB404" i="16"/>
  <c r="AA404" i="16"/>
  <c r="H404" i="16"/>
  <c r="F404" i="16"/>
  <c r="AB403" i="16"/>
  <c r="AA403" i="16"/>
  <c r="H403" i="16"/>
  <c r="F403" i="16"/>
  <c r="AB402" i="16"/>
  <c r="AA402" i="16"/>
  <c r="F402" i="16"/>
  <c r="AB401" i="16"/>
  <c r="AA401" i="16"/>
  <c r="AB399" i="16"/>
  <c r="AA399" i="16"/>
  <c r="G399" i="16"/>
  <c r="H399" i="16" s="1"/>
  <c r="F399" i="16"/>
  <c r="AB398" i="16"/>
  <c r="AA398" i="16"/>
  <c r="G398" i="16"/>
  <c r="H398" i="16" s="1"/>
  <c r="E398" i="16"/>
  <c r="F398" i="16" s="1"/>
  <c r="AB397" i="16"/>
  <c r="AA397" i="16"/>
  <c r="G397" i="16"/>
  <c r="H397" i="16" s="1"/>
  <c r="E397" i="16"/>
  <c r="F397" i="16" s="1"/>
  <c r="AB396" i="16"/>
  <c r="AA396" i="16"/>
  <c r="E396" i="16"/>
  <c r="F396" i="16" s="1"/>
  <c r="AB395" i="16"/>
  <c r="AA395" i="16"/>
  <c r="G395" i="16"/>
  <c r="E395" i="16"/>
  <c r="C395" i="16"/>
  <c r="AB394" i="16"/>
  <c r="AA394" i="16"/>
  <c r="H394" i="16"/>
  <c r="F394" i="16"/>
  <c r="AB393" i="16"/>
  <c r="AA393" i="16"/>
  <c r="H393" i="16"/>
  <c r="F393" i="16"/>
  <c r="AB392" i="16"/>
  <c r="AA392" i="16"/>
  <c r="F392" i="16"/>
  <c r="AB391" i="16"/>
  <c r="AA391" i="16"/>
  <c r="AB389" i="16"/>
  <c r="AA389" i="16"/>
  <c r="G389" i="16"/>
  <c r="H389" i="16" s="1"/>
  <c r="F389" i="16"/>
  <c r="AB388" i="16"/>
  <c r="AA388" i="16"/>
  <c r="G388" i="16"/>
  <c r="H388" i="16" s="1"/>
  <c r="E388" i="16"/>
  <c r="F388" i="16" s="1"/>
  <c r="AB387" i="16"/>
  <c r="AA387" i="16"/>
  <c r="G387" i="16"/>
  <c r="H387" i="16" s="1"/>
  <c r="E387" i="16"/>
  <c r="F387" i="16" s="1"/>
  <c r="AB386" i="16"/>
  <c r="AA386" i="16"/>
  <c r="E386" i="16"/>
  <c r="F386" i="16" s="1"/>
  <c r="AB385" i="16"/>
  <c r="AA385" i="16"/>
  <c r="G385" i="16"/>
  <c r="E385" i="16"/>
  <c r="C385" i="16"/>
  <c r="AB384" i="16"/>
  <c r="AA384" i="16"/>
  <c r="H384" i="16"/>
  <c r="F384" i="16"/>
  <c r="AB383" i="16"/>
  <c r="AA383" i="16"/>
  <c r="H383" i="16"/>
  <c r="F383" i="16"/>
  <c r="AB382" i="16"/>
  <c r="AA382" i="16"/>
  <c r="F382" i="16"/>
  <c r="AB381" i="16"/>
  <c r="AA381" i="16"/>
  <c r="AB379" i="16"/>
  <c r="AA379" i="16"/>
  <c r="G379" i="16"/>
  <c r="H379" i="16" s="1"/>
  <c r="F379" i="16"/>
  <c r="AB378" i="16"/>
  <c r="AA378" i="16"/>
  <c r="G378" i="16"/>
  <c r="H378" i="16" s="1"/>
  <c r="E378" i="16"/>
  <c r="F378" i="16" s="1"/>
  <c r="AB377" i="16"/>
  <c r="AA377" i="16"/>
  <c r="G377" i="16"/>
  <c r="H377" i="16" s="1"/>
  <c r="E377" i="16"/>
  <c r="F377" i="16" s="1"/>
  <c r="AB376" i="16"/>
  <c r="AA376" i="16"/>
  <c r="E376" i="16"/>
  <c r="F376" i="16" s="1"/>
  <c r="AB375" i="16"/>
  <c r="AA375" i="16"/>
  <c r="G375" i="16"/>
  <c r="E375" i="16"/>
  <c r="C375" i="16"/>
  <c r="AB374" i="16"/>
  <c r="AA374" i="16"/>
  <c r="H374" i="16"/>
  <c r="F374" i="16"/>
  <c r="AB373" i="16"/>
  <c r="AA373" i="16"/>
  <c r="H373" i="16"/>
  <c r="F373" i="16"/>
  <c r="AB372" i="16"/>
  <c r="AA372" i="16"/>
  <c r="F372" i="16"/>
  <c r="AB371" i="16"/>
  <c r="AA371" i="16"/>
  <c r="AB369" i="16"/>
  <c r="AA369" i="16"/>
  <c r="G369" i="16"/>
  <c r="H369" i="16" s="1"/>
  <c r="F369" i="16"/>
  <c r="AB368" i="16"/>
  <c r="AA368" i="16"/>
  <c r="G368" i="16"/>
  <c r="H368" i="16" s="1"/>
  <c r="E368" i="16"/>
  <c r="F368" i="16" s="1"/>
  <c r="AB367" i="16"/>
  <c r="AA367" i="16"/>
  <c r="G367" i="16"/>
  <c r="H367" i="16" s="1"/>
  <c r="E367" i="16"/>
  <c r="F367" i="16" s="1"/>
  <c r="AB366" i="16"/>
  <c r="AA366" i="16"/>
  <c r="E366" i="16"/>
  <c r="F366" i="16" s="1"/>
  <c r="AB365" i="16"/>
  <c r="AA365" i="16"/>
  <c r="G365" i="16"/>
  <c r="E365" i="16"/>
  <c r="C365" i="16"/>
  <c r="AB364" i="16"/>
  <c r="AA364" i="16"/>
  <c r="H364" i="16"/>
  <c r="F364" i="16"/>
  <c r="AB363" i="16"/>
  <c r="AA363" i="16"/>
  <c r="H363" i="16"/>
  <c r="F363" i="16"/>
  <c r="AB362" i="16"/>
  <c r="AA362" i="16"/>
  <c r="F362" i="16"/>
  <c r="AB361" i="16"/>
  <c r="AA361" i="16"/>
  <c r="AB360" i="16"/>
  <c r="AA360" i="16"/>
  <c r="AB357" i="16"/>
  <c r="AA357" i="16"/>
  <c r="G357" i="16"/>
  <c r="H357" i="16" s="1"/>
  <c r="F357" i="16"/>
  <c r="AB356" i="16"/>
  <c r="AA356" i="16"/>
  <c r="G356" i="16"/>
  <c r="H356" i="16" s="1"/>
  <c r="E356" i="16"/>
  <c r="F356" i="16" s="1"/>
  <c r="AB355" i="16"/>
  <c r="AA355" i="16"/>
  <c r="G355" i="16"/>
  <c r="H355" i="16" s="1"/>
  <c r="E355" i="16"/>
  <c r="F355" i="16" s="1"/>
  <c r="AB354" i="16"/>
  <c r="AA354" i="16"/>
  <c r="E354" i="16"/>
  <c r="F354" i="16" s="1"/>
  <c r="AB353" i="16"/>
  <c r="AA353" i="16"/>
  <c r="G353" i="16"/>
  <c r="E353" i="16"/>
  <c r="C353" i="16"/>
  <c r="AB352" i="16"/>
  <c r="AA352" i="16"/>
  <c r="H352" i="16"/>
  <c r="F352" i="16"/>
  <c r="AB351" i="16"/>
  <c r="AA351" i="16"/>
  <c r="H351" i="16"/>
  <c r="F351" i="16"/>
  <c r="AB350" i="16"/>
  <c r="AA350" i="16"/>
  <c r="F350" i="16"/>
  <c r="AB349" i="16"/>
  <c r="AA349" i="16"/>
  <c r="AB347" i="16"/>
  <c r="AA347" i="16"/>
  <c r="G347" i="16"/>
  <c r="H347" i="16" s="1"/>
  <c r="F347" i="16"/>
  <c r="AB346" i="16"/>
  <c r="AA346" i="16"/>
  <c r="G346" i="16"/>
  <c r="H346" i="16" s="1"/>
  <c r="E346" i="16"/>
  <c r="F346" i="16" s="1"/>
  <c r="AB345" i="16"/>
  <c r="AA345" i="16"/>
  <c r="G345" i="16"/>
  <c r="H345" i="16" s="1"/>
  <c r="E345" i="16"/>
  <c r="F345" i="16" s="1"/>
  <c r="AB344" i="16"/>
  <c r="AA344" i="16"/>
  <c r="E344" i="16"/>
  <c r="F344" i="16" s="1"/>
  <c r="AB343" i="16"/>
  <c r="AA343" i="16"/>
  <c r="G343" i="16"/>
  <c r="E343" i="16"/>
  <c r="C343" i="16"/>
  <c r="AB342" i="16"/>
  <c r="AA342" i="16"/>
  <c r="H342" i="16"/>
  <c r="F342" i="16"/>
  <c r="AB341" i="16"/>
  <c r="AA341" i="16"/>
  <c r="H341" i="16"/>
  <c r="F341" i="16"/>
  <c r="AB340" i="16"/>
  <c r="AA340" i="16"/>
  <c r="F340" i="16"/>
  <c r="AB339" i="16"/>
  <c r="AA339" i="16"/>
  <c r="AB337" i="16"/>
  <c r="AA337" i="16"/>
  <c r="G337" i="16"/>
  <c r="H337" i="16" s="1"/>
  <c r="F337" i="16"/>
  <c r="AB336" i="16"/>
  <c r="AA336" i="16"/>
  <c r="G336" i="16"/>
  <c r="H336" i="16" s="1"/>
  <c r="E336" i="16"/>
  <c r="F336" i="16" s="1"/>
  <c r="AB335" i="16"/>
  <c r="AA335" i="16"/>
  <c r="G335" i="16"/>
  <c r="H335" i="16" s="1"/>
  <c r="E335" i="16"/>
  <c r="F335" i="16" s="1"/>
  <c r="AB334" i="16"/>
  <c r="AA334" i="16"/>
  <c r="E334" i="16"/>
  <c r="F334" i="16" s="1"/>
  <c r="AB333" i="16"/>
  <c r="AA333" i="16"/>
  <c r="G333" i="16"/>
  <c r="E333" i="16"/>
  <c r="C333" i="16"/>
  <c r="AB332" i="16"/>
  <c r="AA332" i="16"/>
  <c r="H332" i="16"/>
  <c r="F332" i="16"/>
  <c r="AB331" i="16"/>
  <c r="AA331" i="16"/>
  <c r="H331" i="16"/>
  <c r="F331" i="16"/>
  <c r="AB330" i="16"/>
  <c r="AA330" i="16"/>
  <c r="F330" i="16"/>
  <c r="AB329" i="16"/>
  <c r="AA329" i="16"/>
  <c r="AB327" i="16"/>
  <c r="AA327" i="16"/>
  <c r="G327" i="16"/>
  <c r="H327" i="16" s="1"/>
  <c r="F327" i="16"/>
  <c r="AB326" i="16"/>
  <c r="AA326" i="16"/>
  <c r="G326" i="16"/>
  <c r="H326" i="16" s="1"/>
  <c r="E326" i="16"/>
  <c r="F326" i="16" s="1"/>
  <c r="AB325" i="16"/>
  <c r="AA325" i="16"/>
  <c r="G325" i="16"/>
  <c r="H325" i="16" s="1"/>
  <c r="E325" i="16"/>
  <c r="F325" i="16" s="1"/>
  <c r="AB324" i="16"/>
  <c r="AA324" i="16"/>
  <c r="E324" i="16"/>
  <c r="F324" i="16" s="1"/>
  <c r="AB323" i="16"/>
  <c r="AA323" i="16"/>
  <c r="G323" i="16"/>
  <c r="E323" i="16"/>
  <c r="C323" i="16"/>
  <c r="AB322" i="16"/>
  <c r="AA322" i="16"/>
  <c r="H322" i="16"/>
  <c r="F322" i="16"/>
  <c r="AB321" i="16"/>
  <c r="AA321" i="16"/>
  <c r="H321" i="16"/>
  <c r="F321" i="16"/>
  <c r="AB320" i="16"/>
  <c r="AA320" i="16"/>
  <c r="F320" i="16"/>
  <c r="AB319" i="16"/>
  <c r="AA319" i="16"/>
  <c r="AB317" i="16"/>
  <c r="AA317" i="16"/>
  <c r="G317" i="16"/>
  <c r="H317" i="16" s="1"/>
  <c r="F317" i="16"/>
  <c r="AB316" i="16"/>
  <c r="AA316" i="16"/>
  <c r="G316" i="16"/>
  <c r="H316" i="16" s="1"/>
  <c r="E316" i="16"/>
  <c r="F316" i="16" s="1"/>
  <c r="AB315" i="16"/>
  <c r="AA315" i="16"/>
  <c r="G315" i="16"/>
  <c r="H315" i="16" s="1"/>
  <c r="E315" i="16"/>
  <c r="F315" i="16" s="1"/>
  <c r="AB314" i="16"/>
  <c r="AA314" i="16"/>
  <c r="E314" i="16"/>
  <c r="F314" i="16" s="1"/>
  <c r="AB313" i="16"/>
  <c r="AA313" i="16"/>
  <c r="G313" i="16"/>
  <c r="E313" i="16"/>
  <c r="C313" i="16"/>
  <c r="AB312" i="16"/>
  <c r="AA312" i="16"/>
  <c r="H312" i="16"/>
  <c r="F312" i="16"/>
  <c r="AB311" i="16"/>
  <c r="AA311" i="16"/>
  <c r="H311" i="16"/>
  <c r="F311" i="16"/>
  <c r="AB310" i="16"/>
  <c r="AA310" i="16"/>
  <c r="F310" i="16"/>
  <c r="AB309" i="16"/>
  <c r="AA309" i="16"/>
  <c r="AB308" i="16"/>
  <c r="AA308" i="16"/>
  <c r="AB305" i="16"/>
  <c r="AA305" i="16"/>
  <c r="G305" i="16"/>
  <c r="H305" i="16" s="1"/>
  <c r="F305" i="16"/>
  <c r="AB304" i="16"/>
  <c r="AA304" i="16"/>
  <c r="G304" i="16"/>
  <c r="H304" i="16" s="1"/>
  <c r="E304" i="16"/>
  <c r="F304" i="16" s="1"/>
  <c r="AB303" i="16"/>
  <c r="AA303" i="16"/>
  <c r="E303" i="16"/>
  <c r="F303" i="16" s="1"/>
  <c r="AB302" i="16"/>
  <c r="AA302" i="16"/>
  <c r="G302" i="16"/>
  <c r="E302" i="16"/>
  <c r="C302" i="16"/>
  <c r="AB301" i="16"/>
  <c r="AA301" i="16"/>
  <c r="H301" i="16"/>
  <c r="F301" i="16"/>
  <c r="AB300" i="16"/>
  <c r="AA300" i="16"/>
  <c r="H300" i="16"/>
  <c r="F300" i="16"/>
  <c r="AB299" i="16"/>
  <c r="AA299" i="16"/>
  <c r="F299" i="16"/>
  <c r="AB298" i="16"/>
  <c r="AA298" i="16"/>
  <c r="H298" i="16"/>
  <c r="F298" i="16"/>
  <c r="AB297" i="16"/>
  <c r="AA297" i="16"/>
  <c r="AB295" i="16"/>
  <c r="AA295" i="16"/>
  <c r="G295" i="16"/>
  <c r="H295" i="16" s="1"/>
  <c r="F295" i="16"/>
  <c r="AB294" i="16"/>
  <c r="AA294" i="16"/>
  <c r="G294" i="16"/>
  <c r="H294" i="16" s="1"/>
  <c r="E294" i="16"/>
  <c r="F294" i="16" s="1"/>
  <c r="AB293" i="16"/>
  <c r="AA293" i="16"/>
  <c r="E293" i="16"/>
  <c r="F293" i="16" s="1"/>
  <c r="AB292" i="16"/>
  <c r="AA292" i="16"/>
  <c r="G292" i="16"/>
  <c r="E292" i="16"/>
  <c r="C292" i="16"/>
  <c r="AB291" i="16"/>
  <c r="AA291" i="16"/>
  <c r="H291" i="16"/>
  <c r="F291" i="16"/>
  <c r="AB290" i="16"/>
  <c r="AA290" i="16"/>
  <c r="H290" i="16"/>
  <c r="F290" i="16"/>
  <c r="AB289" i="16"/>
  <c r="AA289" i="16"/>
  <c r="H289" i="16"/>
  <c r="F289" i="16"/>
  <c r="AB288" i="16"/>
  <c r="AA288" i="16"/>
  <c r="H288" i="16"/>
  <c r="F288" i="16"/>
  <c r="AB287" i="16"/>
  <c r="AA287" i="16"/>
  <c r="AB285" i="16"/>
  <c r="AA285" i="16"/>
  <c r="G285" i="16"/>
  <c r="H285" i="16" s="1"/>
  <c r="F285" i="16"/>
  <c r="AB284" i="16"/>
  <c r="AA284" i="16"/>
  <c r="G284" i="16"/>
  <c r="H284" i="16" s="1"/>
  <c r="E284" i="16"/>
  <c r="F284" i="16" s="1"/>
  <c r="AB283" i="16"/>
  <c r="AA283" i="16"/>
  <c r="E283" i="16"/>
  <c r="F283" i="16" s="1"/>
  <c r="AB282" i="16"/>
  <c r="AA282" i="16"/>
  <c r="G282" i="16"/>
  <c r="E282" i="16"/>
  <c r="C282" i="16"/>
  <c r="AB281" i="16"/>
  <c r="AA281" i="16"/>
  <c r="H281" i="16"/>
  <c r="F281" i="16"/>
  <c r="AB280" i="16"/>
  <c r="AA280" i="16"/>
  <c r="F280" i="16"/>
  <c r="AB279" i="16"/>
  <c r="AA279" i="16"/>
  <c r="H279" i="16"/>
  <c r="F279" i="16"/>
  <c r="AB278" i="16"/>
  <c r="AA278" i="16"/>
  <c r="H278" i="16"/>
  <c r="F278" i="16"/>
  <c r="AB277" i="16"/>
  <c r="AA277" i="16"/>
  <c r="AB275" i="16"/>
  <c r="AA275" i="16"/>
  <c r="G275" i="16"/>
  <c r="H275" i="16" s="1"/>
  <c r="F275" i="16"/>
  <c r="AB274" i="16"/>
  <c r="AA274" i="16"/>
  <c r="G274" i="16"/>
  <c r="H274" i="16" s="1"/>
  <c r="E274" i="16"/>
  <c r="F274" i="16" s="1"/>
  <c r="AB273" i="16"/>
  <c r="AA273" i="16"/>
  <c r="E273" i="16"/>
  <c r="F273" i="16" s="1"/>
  <c r="AB272" i="16"/>
  <c r="AA272" i="16"/>
  <c r="G272" i="16"/>
  <c r="E272" i="16"/>
  <c r="C272" i="16"/>
  <c r="AB271" i="16"/>
  <c r="AA271" i="16"/>
  <c r="H271" i="16"/>
  <c r="F271" i="16"/>
  <c r="AB270" i="16"/>
  <c r="AA270" i="16"/>
  <c r="F270" i="16"/>
  <c r="AB269" i="16"/>
  <c r="AA269" i="16"/>
  <c r="H269" i="16"/>
  <c r="F269" i="16"/>
  <c r="AB268" i="16"/>
  <c r="AA268" i="16"/>
  <c r="H268" i="16"/>
  <c r="F268" i="16"/>
  <c r="AB267" i="16"/>
  <c r="AA267" i="16"/>
  <c r="AB266" i="16"/>
  <c r="AA266" i="16"/>
  <c r="AB263" i="16"/>
  <c r="AA263" i="16"/>
  <c r="G263" i="16"/>
  <c r="H263" i="16" s="1"/>
  <c r="F263" i="16"/>
  <c r="AB262" i="16"/>
  <c r="AA262" i="16"/>
  <c r="G262" i="16"/>
  <c r="H262" i="16" s="1"/>
  <c r="E262" i="16"/>
  <c r="F262" i="16" s="1"/>
  <c r="AB261" i="16"/>
  <c r="AA261" i="16"/>
  <c r="G261" i="16"/>
  <c r="H261" i="16" s="1"/>
  <c r="E261" i="16"/>
  <c r="F261" i="16" s="1"/>
  <c r="AB260" i="16"/>
  <c r="AA260" i="16"/>
  <c r="E260" i="16"/>
  <c r="F260" i="16" s="1"/>
  <c r="AB259" i="16"/>
  <c r="AA259" i="16"/>
  <c r="G259" i="16"/>
  <c r="E259" i="16"/>
  <c r="C259" i="16"/>
  <c r="AB258" i="16"/>
  <c r="AA258" i="16"/>
  <c r="H258" i="16"/>
  <c r="F258" i="16"/>
  <c r="AB257" i="16"/>
  <c r="AA257" i="16"/>
  <c r="H257" i="16"/>
  <c r="F257" i="16"/>
  <c r="AB256" i="16"/>
  <c r="AA256" i="16"/>
  <c r="F256" i="16"/>
  <c r="AB255" i="16"/>
  <c r="AA255" i="16"/>
  <c r="H255" i="16"/>
  <c r="F255" i="16"/>
  <c r="AB254" i="16"/>
  <c r="AA254" i="16"/>
  <c r="AB252" i="16"/>
  <c r="AA252" i="16"/>
  <c r="G252" i="16"/>
  <c r="H252" i="16" s="1"/>
  <c r="F252" i="16"/>
  <c r="AB251" i="16"/>
  <c r="AA251" i="16"/>
  <c r="G251" i="16"/>
  <c r="H251" i="16" s="1"/>
  <c r="E251" i="16"/>
  <c r="F251" i="16" s="1"/>
  <c r="AB250" i="16"/>
  <c r="AA250" i="16"/>
  <c r="G250" i="16"/>
  <c r="H250" i="16" s="1"/>
  <c r="E250" i="16"/>
  <c r="F250" i="16" s="1"/>
  <c r="AB249" i="16"/>
  <c r="AA249" i="16"/>
  <c r="E249" i="16"/>
  <c r="F249" i="16" s="1"/>
  <c r="AB248" i="16"/>
  <c r="AA248" i="16"/>
  <c r="G248" i="16"/>
  <c r="E248" i="16"/>
  <c r="C248" i="16"/>
  <c r="AB247" i="16"/>
  <c r="AA247" i="16"/>
  <c r="H247" i="16"/>
  <c r="F247" i="16"/>
  <c r="AB246" i="16"/>
  <c r="AA246" i="16"/>
  <c r="H246" i="16"/>
  <c r="F246" i="16"/>
  <c r="AB245" i="16"/>
  <c r="AA245" i="16"/>
  <c r="F245" i="16"/>
  <c r="AB244" i="16"/>
  <c r="AA244" i="16"/>
  <c r="H244" i="16"/>
  <c r="F244" i="16"/>
  <c r="AB243" i="16"/>
  <c r="AA243" i="16"/>
  <c r="AB241" i="16"/>
  <c r="AA241" i="16"/>
  <c r="G241" i="16"/>
  <c r="H241" i="16" s="1"/>
  <c r="F241" i="16"/>
  <c r="AB240" i="16"/>
  <c r="AA240" i="16"/>
  <c r="G240" i="16"/>
  <c r="H240" i="16" s="1"/>
  <c r="E240" i="16"/>
  <c r="F240" i="16" s="1"/>
  <c r="AB239" i="16"/>
  <c r="AA239" i="16"/>
  <c r="G239" i="16"/>
  <c r="H239" i="16" s="1"/>
  <c r="E239" i="16"/>
  <c r="F239" i="16" s="1"/>
  <c r="AB238" i="16"/>
  <c r="AA238" i="16"/>
  <c r="E238" i="16"/>
  <c r="F238" i="16" s="1"/>
  <c r="AB237" i="16"/>
  <c r="AA237" i="16"/>
  <c r="G237" i="16"/>
  <c r="E237" i="16"/>
  <c r="C237" i="16"/>
  <c r="AB236" i="16"/>
  <c r="AA236" i="16"/>
  <c r="H236" i="16"/>
  <c r="F236" i="16"/>
  <c r="AB235" i="16"/>
  <c r="AA235" i="16"/>
  <c r="H235" i="16"/>
  <c r="F235" i="16"/>
  <c r="AB234" i="16"/>
  <c r="AA234" i="16"/>
  <c r="F234" i="16"/>
  <c r="AB233" i="16"/>
  <c r="AA233" i="16"/>
  <c r="H233" i="16"/>
  <c r="F233" i="16"/>
  <c r="AB232" i="16"/>
  <c r="AA232" i="16"/>
  <c r="AB230" i="16"/>
  <c r="AA230" i="16"/>
  <c r="G230" i="16"/>
  <c r="H230" i="16" s="1"/>
  <c r="F230" i="16"/>
  <c r="AB229" i="16"/>
  <c r="AA229" i="16"/>
  <c r="G229" i="16"/>
  <c r="H229" i="16" s="1"/>
  <c r="E229" i="16"/>
  <c r="F229" i="16" s="1"/>
  <c r="AB228" i="16"/>
  <c r="AA228" i="16"/>
  <c r="G228" i="16"/>
  <c r="H228" i="16" s="1"/>
  <c r="E228" i="16"/>
  <c r="F228" i="16" s="1"/>
  <c r="AB227" i="16"/>
  <c r="AA227" i="16"/>
  <c r="E227" i="16"/>
  <c r="F227" i="16" s="1"/>
  <c r="AB226" i="16"/>
  <c r="AA226" i="16"/>
  <c r="G226" i="16"/>
  <c r="E226" i="16"/>
  <c r="C226" i="16"/>
  <c r="AB225" i="16"/>
  <c r="AA225" i="16"/>
  <c r="H225" i="16"/>
  <c r="F225" i="16"/>
  <c r="AB224" i="16"/>
  <c r="AA224" i="16"/>
  <c r="H224" i="16"/>
  <c r="F224" i="16"/>
  <c r="AB223" i="16"/>
  <c r="AA223" i="16"/>
  <c r="F223" i="16"/>
  <c r="AB222" i="16"/>
  <c r="AA222" i="16"/>
  <c r="H222" i="16"/>
  <c r="F222" i="16"/>
  <c r="AB221" i="16"/>
  <c r="AA221" i="16"/>
  <c r="AB219" i="16"/>
  <c r="AA219" i="16"/>
  <c r="G219" i="16"/>
  <c r="H219" i="16" s="1"/>
  <c r="F219" i="16"/>
  <c r="AB218" i="16"/>
  <c r="AA218" i="16"/>
  <c r="G218" i="16"/>
  <c r="H218" i="16" s="1"/>
  <c r="E218" i="16"/>
  <c r="F218" i="16" s="1"/>
  <c r="AB217" i="16"/>
  <c r="AA217" i="16"/>
  <c r="G217" i="16"/>
  <c r="H217" i="16" s="1"/>
  <c r="E217" i="16"/>
  <c r="F217" i="16" s="1"/>
  <c r="AB216" i="16"/>
  <c r="AA216" i="16"/>
  <c r="E216" i="16"/>
  <c r="F216" i="16" s="1"/>
  <c r="AB215" i="16"/>
  <c r="AA215" i="16"/>
  <c r="G215" i="16"/>
  <c r="E215" i="16"/>
  <c r="C215" i="16"/>
  <c r="AB214" i="16"/>
  <c r="AA214" i="16"/>
  <c r="H214" i="16"/>
  <c r="F214" i="16"/>
  <c r="AB213" i="16"/>
  <c r="AA213" i="16"/>
  <c r="H213" i="16"/>
  <c r="F213" i="16"/>
  <c r="AB212" i="16"/>
  <c r="AA212" i="16"/>
  <c r="F212" i="16"/>
  <c r="AB211" i="16"/>
  <c r="AA211" i="16"/>
  <c r="H211" i="16"/>
  <c r="F211" i="16"/>
  <c r="AB210" i="16"/>
  <c r="AA210" i="16"/>
  <c r="AB208" i="16"/>
  <c r="AA208" i="16"/>
  <c r="G208" i="16"/>
  <c r="H208" i="16" s="1"/>
  <c r="F208" i="16"/>
  <c r="AB207" i="16"/>
  <c r="AA207" i="16"/>
  <c r="G207" i="16"/>
  <c r="H207" i="16" s="1"/>
  <c r="E207" i="16"/>
  <c r="F207" i="16" s="1"/>
  <c r="AB206" i="16"/>
  <c r="AA206" i="16"/>
  <c r="G206" i="16"/>
  <c r="H206" i="16" s="1"/>
  <c r="E206" i="16"/>
  <c r="F206" i="16" s="1"/>
  <c r="AB205" i="16"/>
  <c r="AA205" i="16"/>
  <c r="E205" i="16"/>
  <c r="F205" i="16" s="1"/>
  <c r="AB204" i="16"/>
  <c r="AA204" i="16"/>
  <c r="G204" i="16"/>
  <c r="E204" i="16"/>
  <c r="C204" i="16"/>
  <c r="AB203" i="16"/>
  <c r="AA203" i="16"/>
  <c r="H203" i="16"/>
  <c r="F203" i="16"/>
  <c r="AB202" i="16"/>
  <c r="AA202" i="16"/>
  <c r="H202" i="16"/>
  <c r="F202" i="16"/>
  <c r="AB201" i="16"/>
  <c r="AA201" i="16"/>
  <c r="F201" i="16"/>
  <c r="AB200" i="16"/>
  <c r="AA200" i="16"/>
  <c r="H200" i="16"/>
  <c r="F200" i="16"/>
  <c r="AB199" i="16"/>
  <c r="AA199" i="16"/>
  <c r="AB197" i="16"/>
  <c r="AA197" i="16"/>
  <c r="G197" i="16"/>
  <c r="H197" i="16" s="1"/>
  <c r="F197" i="16"/>
  <c r="AB196" i="16"/>
  <c r="AA196" i="16"/>
  <c r="G196" i="16"/>
  <c r="H196" i="16" s="1"/>
  <c r="E196" i="16"/>
  <c r="F196" i="16" s="1"/>
  <c r="AB195" i="16"/>
  <c r="AA195" i="16"/>
  <c r="G195" i="16"/>
  <c r="H195" i="16" s="1"/>
  <c r="E195" i="16"/>
  <c r="F195" i="16" s="1"/>
  <c r="AB194" i="16"/>
  <c r="AA194" i="16"/>
  <c r="E194" i="16"/>
  <c r="F194" i="16" s="1"/>
  <c r="AB193" i="16"/>
  <c r="AA193" i="16"/>
  <c r="G193" i="16"/>
  <c r="E193" i="16"/>
  <c r="C193" i="16"/>
  <c r="AB192" i="16"/>
  <c r="AA192" i="16"/>
  <c r="H192" i="16"/>
  <c r="F192" i="16"/>
  <c r="AB191" i="16"/>
  <c r="AA191" i="16"/>
  <c r="H191" i="16"/>
  <c r="F191" i="16"/>
  <c r="AB190" i="16"/>
  <c r="AA190" i="16"/>
  <c r="F190" i="16"/>
  <c r="AB189" i="16"/>
  <c r="AA189" i="16"/>
  <c r="H189" i="16"/>
  <c r="F189" i="16"/>
  <c r="AB188" i="16"/>
  <c r="AA188" i="16"/>
  <c r="AB186" i="16"/>
  <c r="AA186" i="16"/>
  <c r="G186" i="16"/>
  <c r="H186" i="16" s="1"/>
  <c r="F186" i="16"/>
  <c r="AB185" i="16"/>
  <c r="AA185" i="16"/>
  <c r="G185" i="16"/>
  <c r="H185" i="16" s="1"/>
  <c r="E185" i="16"/>
  <c r="F185" i="16" s="1"/>
  <c r="AB184" i="16"/>
  <c r="AA184" i="16"/>
  <c r="G184" i="16"/>
  <c r="H184" i="16" s="1"/>
  <c r="E184" i="16"/>
  <c r="F184" i="16" s="1"/>
  <c r="AB183" i="16"/>
  <c r="AA183" i="16"/>
  <c r="E183" i="16"/>
  <c r="F183" i="16" s="1"/>
  <c r="AB182" i="16"/>
  <c r="AA182" i="16"/>
  <c r="G182" i="16"/>
  <c r="E182" i="16"/>
  <c r="C182" i="16"/>
  <c r="AB181" i="16"/>
  <c r="AA181" i="16"/>
  <c r="H181" i="16"/>
  <c r="F181" i="16"/>
  <c r="AB180" i="16"/>
  <c r="AA180" i="16"/>
  <c r="H180" i="16"/>
  <c r="F180" i="16"/>
  <c r="AB179" i="16"/>
  <c r="AA179" i="16"/>
  <c r="F179" i="16"/>
  <c r="AB178" i="16"/>
  <c r="AA178" i="16"/>
  <c r="H178" i="16"/>
  <c r="F178" i="16"/>
  <c r="AB177" i="16"/>
  <c r="AA177" i="16"/>
  <c r="AB175" i="16"/>
  <c r="AA175" i="16"/>
  <c r="G175" i="16"/>
  <c r="H175" i="16" s="1"/>
  <c r="F175" i="16"/>
  <c r="AB174" i="16"/>
  <c r="AA174" i="16"/>
  <c r="G174" i="16"/>
  <c r="H174" i="16" s="1"/>
  <c r="E174" i="16"/>
  <c r="F174" i="16" s="1"/>
  <c r="AB173" i="16"/>
  <c r="AA173" i="16"/>
  <c r="G173" i="16"/>
  <c r="H173" i="16" s="1"/>
  <c r="E173" i="16"/>
  <c r="F173" i="16" s="1"/>
  <c r="AB172" i="16"/>
  <c r="AA172" i="16"/>
  <c r="E172" i="16"/>
  <c r="F172" i="16" s="1"/>
  <c r="AB171" i="16"/>
  <c r="AA171" i="16"/>
  <c r="G171" i="16"/>
  <c r="E171" i="16"/>
  <c r="C171" i="16"/>
  <c r="AB170" i="16"/>
  <c r="AA170" i="16"/>
  <c r="H170" i="16"/>
  <c r="F170" i="16"/>
  <c r="AB169" i="16"/>
  <c r="AA169" i="16"/>
  <c r="H169" i="16"/>
  <c r="F169" i="16"/>
  <c r="AB168" i="16"/>
  <c r="AA168" i="16"/>
  <c r="F168" i="16"/>
  <c r="AB167" i="16"/>
  <c r="AA167" i="16"/>
  <c r="H167" i="16"/>
  <c r="F167" i="16"/>
  <c r="AB166" i="16"/>
  <c r="AA166" i="16"/>
  <c r="AB164" i="16"/>
  <c r="AA164" i="16"/>
  <c r="G164" i="16"/>
  <c r="H164" i="16" s="1"/>
  <c r="F164" i="16"/>
  <c r="AB163" i="16"/>
  <c r="AA163" i="16"/>
  <c r="G163" i="16"/>
  <c r="H163" i="16" s="1"/>
  <c r="E163" i="16"/>
  <c r="F163" i="16" s="1"/>
  <c r="AB162" i="16"/>
  <c r="AA162" i="16"/>
  <c r="G162" i="16"/>
  <c r="H162" i="16" s="1"/>
  <c r="E162" i="16"/>
  <c r="F162" i="16" s="1"/>
  <c r="AB161" i="16"/>
  <c r="AA161" i="16"/>
  <c r="E161" i="16"/>
  <c r="F161" i="16" s="1"/>
  <c r="AB160" i="16"/>
  <c r="AA160" i="16"/>
  <c r="G160" i="16"/>
  <c r="E160" i="16"/>
  <c r="C160" i="16"/>
  <c r="AB159" i="16"/>
  <c r="AA159" i="16"/>
  <c r="H159" i="16"/>
  <c r="F159" i="16"/>
  <c r="AB158" i="16"/>
  <c r="AA158" i="16"/>
  <c r="H158" i="16"/>
  <c r="F158" i="16"/>
  <c r="AB157" i="16"/>
  <c r="AA157" i="16"/>
  <c r="F157" i="16"/>
  <c r="AB156" i="16"/>
  <c r="AA156" i="16"/>
  <c r="H156" i="16"/>
  <c r="F156" i="16"/>
  <c r="AB155" i="16"/>
  <c r="AA155" i="16"/>
  <c r="AB153" i="16"/>
  <c r="AA153" i="16"/>
  <c r="G153" i="16"/>
  <c r="H153" i="16" s="1"/>
  <c r="F153" i="16"/>
  <c r="AB152" i="16"/>
  <c r="AA152" i="16"/>
  <c r="G152" i="16"/>
  <c r="H152" i="16" s="1"/>
  <c r="E152" i="16"/>
  <c r="F152" i="16" s="1"/>
  <c r="AB151" i="16"/>
  <c r="AA151" i="16"/>
  <c r="G151" i="16"/>
  <c r="H151" i="16" s="1"/>
  <c r="E151" i="16"/>
  <c r="F151" i="16" s="1"/>
  <c r="AB150" i="16"/>
  <c r="AA150" i="16"/>
  <c r="E150" i="16"/>
  <c r="F150" i="16" s="1"/>
  <c r="AB149" i="16"/>
  <c r="AA149" i="16"/>
  <c r="G149" i="16"/>
  <c r="E149" i="16"/>
  <c r="C149" i="16"/>
  <c r="AB148" i="16"/>
  <c r="AA148" i="16"/>
  <c r="H148" i="16"/>
  <c r="F148" i="16"/>
  <c r="AB147" i="16"/>
  <c r="AA147" i="16"/>
  <c r="H147" i="16"/>
  <c r="F147" i="16"/>
  <c r="AB146" i="16"/>
  <c r="AA146" i="16"/>
  <c r="F146" i="16"/>
  <c r="AB145" i="16"/>
  <c r="AA145" i="16"/>
  <c r="H145" i="16"/>
  <c r="F145" i="16"/>
  <c r="AB144" i="16"/>
  <c r="AA144" i="16"/>
  <c r="AB142" i="16"/>
  <c r="AA142" i="16"/>
  <c r="G142" i="16"/>
  <c r="H142" i="16" s="1"/>
  <c r="F142" i="16"/>
  <c r="AB141" i="16"/>
  <c r="AA141" i="16"/>
  <c r="G141" i="16"/>
  <c r="H141" i="16" s="1"/>
  <c r="E141" i="16"/>
  <c r="F141" i="16" s="1"/>
  <c r="AB140" i="16"/>
  <c r="AA140" i="16"/>
  <c r="G140" i="16"/>
  <c r="H140" i="16" s="1"/>
  <c r="E140" i="16"/>
  <c r="F140" i="16" s="1"/>
  <c r="AB139" i="16"/>
  <c r="AA139" i="16"/>
  <c r="E139" i="16"/>
  <c r="F139" i="16" s="1"/>
  <c r="AB138" i="16"/>
  <c r="AA138" i="16"/>
  <c r="G138" i="16"/>
  <c r="E138" i="16"/>
  <c r="C138" i="16"/>
  <c r="AB137" i="16"/>
  <c r="AA137" i="16"/>
  <c r="H137" i="16"/>
  <c r="F137" i="16"/>
  <c r="AB136" i="16"/>
  <c r="AA136" i="16"/>
  <c r="H136" i="16"/>
  <c r="F136" i="16"/>
  <c r="AB135" i="16"/>
  <c r="AA135" i="16"/>
  <c r="F135" i="16"/>
  <c r="AB134" i="16"/>
  <c r="AA134" i="16"/>
  <c r="H134" i="16"/>
  <c r="F134" i="16"/>
  <c r="AB133" i="16"/>
  <c r="AA133" i="16"/>
  <c r="AB131" i="16"/>
  <c r="AA131" i="16"/>
  <c r="G131" i="16"/>
  <c r="H131" i="16" s="1"/>
  <c r="F131" i="16"/>
  <c r="AB130" i="16"/>
  <c r="AA130" i="16"/>
  <c r="G130" i="16"/>
  <c r="H130" i="16" s="1"/>
  <c r="E130" i="16"/>
  <c r="F130" i="16" s="1"/>
  <c r="AB129" i="16"/>
  <c r="AA129" i="16"/>
  <c r="G129" i="16"/>
  <c r="H129" i="16" s="1"/>
  <c r="E129" i="16"/>
  <c r="F129" i="16" s="1"/>
  <c r="AB128" i="16"/>
  <c r="AA128" i="16"/>
  <c r="E128" i="16"/>
  <c r="F128" i="16" s="1"/>
  <c r="AB127" i="16"/>
  <c r="AA127" i="16"/>
  <c r="G127" i="16"/>
  <c r="E127" i="16"/>
  <c r="C127" i="16"/>
  <c r="AB126" i="16"/>
  <c r="AA126" i="16"/>
  <c r="H126" i="16"/>
  <c r="F126" i="16"/>
  <c r="AB125" i="16"/>
  <c r="AA125" i="16"/>
  <c r="H125" i="16"/>
  <c r="F125" i="16"/>
  <c r="AB124" i="16"/>
  <c r="AA124" i="16"/>
  <c r="F124" i="16"/>
  <c r="AB123" i="16"/>
  <c r="AA123" i="16"/>
  <c r="H123" i="16"/>
  <c r="F123" i="16"/>
  <c r="AB122" i="16"/>
  <c r="AA122" i="16"/>
  <c r="AB121" i="16"/>
  <c r="AA121" i="16"/>
  <c r="AB118" i="16"/>
  <c r="AA118" i="16"/>
  <c r="G118" i="16"/>
  <c r="H118" i="16" s="1"/>
  <c r="F118" i="16"/>
  <c r="AB117" i="16"/>
  <c r="AA117" i="16"/>
  <c r="G117" i="16"/>
  <c r="H117" i="16" s="1"/>
  <c r="E117" i="16"/>
  <c r="F117" i="16" s="1"/>
  <c r="AB116" i="16"/>
  <c r="AA116" i="16"/>
  <c r="G116" i="16"/>
  <c r="H116" i="16" s="1"/>
  <c r="E116" i="16"/>
  <c r="F116" i="16" s="1"/>
  <c r="AB115" i="16"/>
  <c r="AA115" i="16"/>
  <c r="E115" i="16"/>
  <c r="F115" i="16" s="1"/>
  <c r="AB114" i="16"/>
  <c r="AA114" i="16"/>
  <c r="G114" i="16"/>
  <c r="E114" i="16"/>
  <c r="C114" i="16"/>
  <c r="AB113" i="16"/>
  <c r="AA113" i="16"/>
  <c r="H113" i="16"/>
  <c r="F113" i="16"/>
  <c r="AB112" i="16"/>
  <c r="AA112" i="16"/>
  <c r="H112" i="16"/>
  <c r="F112" i="16"/>
  <c r="AB111" i="16"/>
  <c r="AA111" i="16"/>
  <c r="F111" i="16"/>
  <c r="AB110" i="16"/>
  <c r="AA110" i="16"/>
  <c r="AB108" i="16"/>
  <c r="AA108" i="16"/>
  <c r="G108" i="16"/>
  <c r="H108" i="16" s="1"/>
  <c r="F108" i="16"/>
  <c r="AB107" i="16"/>
  <c r="AA107" i="16"/>
  <c r="G107" i="16"/>
  <c r="H107" i="16" s="1"/>
  <c r="E107" i="16"/>
  <c r="F107" i="16" s="1"/>
  <c r="AB106" i="16"/>
  <c r="AA106" i="16"/>
  <c r="G106" i="16"/>
  <c r="H106" i="16" s="1"/>
  <c r="E106" i="16"/>
  <c r="F106" i="16" s="1"/>
  <c r="AB105" i="16"/>
  <c r="AA105" i="16"/>
  <c r="E105" i="16"/>
  <c r="F105" i="16" s="1"/>
  <c r="AB104" i="16"/>
  <c r="AA104" i="16"/>
  <c r="G104" i="16"/>
  <c r="E104" i="16"/>
  <c r="C104" i="16"/>
  <c r="AB103" i="16"/>
  <c r="AA103" i="16"/>
  <c r="H103" i="16"/>
  <c r="AB102" i="16"/>
  <c r="AA102" i="16"/>
  <c r="H102" i="16"/>
  <c r="F102" i="16"/>
  <c r="AB101" i="16"/>
  <c r="AA101" i="16"/>
  <c r="F101" i="16"/>
  <c r="AB100" i="16"/>
  <c r="AA100" i="16"/>
  <c r="AB98" i="16"/>
  <c r="AA98" i="16"/>
  <c r="G98" i="16"/>
  <c r="H98" i="16" s="1"/>
  <c r="F98" i="16"/>
  <c r="AB97" i="16"/>
  <c r="AA97" i="16"/>
  <c r="G97" i="16"/>
  <c r="H97" i="16" s="1"/>
  <c r="E97" i="16"/>
  <c r="F97" i="16" s="1"/>
  <c r="AB96" i="16"/>
  <c r="AA96" i="16"/>
  <c r="G96" i="16"/>
  <c r="H96" i="16" s="1"/>
  <c r="E96" i="16"/>
  <c r="F96" i="16" s="1"/>
  <c r="AB95" i="16"/>
  <c r="AA95" i="16"/>
  <c r="E95" i="16"/>
  <c r="F95" i="16" s="1"/>
  <c r="AB94" i="16"/>
  <c r="AA94" i="16"/>
  <c r="G94" i="16"/>
  <c r="E94" i="16"/>
  <c r="C94" i="16"/>
  <c r="AB93" i="16"/>
  <c r="AA93" i="16"/>
  <c r="H93" i="16"/>
  <c r="F93" i="16"/>
  <c r="AB92" i="16"/>
  <c r="AA92" i="16"/>
  <c r="H92" i="16"/>
  <c r="F92" i="16"/>
  <c r="AB91" i="16"/>
  <c r="AA91" i="16"/>
  <c r="F91" i="16"/>
  <c r="AB90" i="16"/>
  <c r="AA90" i="16"/>
  <c r="AB88" i="16"/>
  <c r="AA88" i="16"/>
  <c r="G88" i="16"/>
  <c r="H88" i="16" s="1"/>
  <c r="F88" i="16"/>
  <c r="AB87" i="16"/>
  <c r="AA87" i="16"/>
  <c r="G87" i="16"/>
  <c r="H87" i="16" s="1"/>
  <c r="E87" i="16"/>
  <c r="F87" i="16" s="1"/>
  <c r="AB86" i="16"/>
  <c r="AA86" i="16"/>
  <c r="G86" i="16"/>
  <c r="H86" i="16" s="1"/>
  <c r="E86" i="16"/>
  <c r="F86" i="16" s="1"/>
  <c r="AB85" i="16"/>
  <c r="AA85" i="16"/>
  <c r="E85" i="16"/>
  <c r="F85" i="16" s="1"/>
  <c r="AB84" i="16"/>
  <c r="AA84" i="16"/>
  <c r="G84" i="16"/>
  <c r="C84" i="16"/>
  <c r="AB83" i="16"/>
  <c r="AA83" i="16"/>
  <c r="H83" i="16"/>
  <c r="F83" i="16"/>
  <c r="AB82" i="16"/>
  <c r="AA82" i="16"/>
  <c r="H82" i="16"/>
  <c r="F82" i="16"/>
  <c r="AB81" i="16"/>
  <c r="AA81" i="16"/>
  <c r="F81" i="16"/>
  <c r="AB80" i="16"/>
  <c r="AA80" i="16"/>
  <c r="AB78" i="16"/>
  <c r="AA78" i="16"/>
  <c r="G78" i="16"/>
  <c r="H78" i="16" s="1"/>
  <c r="F78" i="16"/>
  <c r="AB77" i="16"/>
  <c r="AA77" i="16"/>
  <c r="G77" i="16"/>
  <c r="H77" i="16" s="1"/>
  <c r="E77" i="16"/>
  <c r="F77" i="16" s="1"/>
  <c r="AB76" i="16"/>
  <c r="AA76" i="16"/>
  <c r="G76" i="16"/>
  <c r="H76" i="16" s="1"/>
  <c r="E76" i="16"/>
  <c r="F76" i="16" s="1"/>
  <c r="AB75" i="16"/>
  <c r="AA75" i="16"/>
  <c r="E75" i="16"/>
  <c r="F75" i="16" s="1"/>
  <c r="AB74" i="16"/>
  <c r="AA74" i="16"/>
  <c r="G74" i="16"/>
  <c r="E74" i="16"/>
  <c r="C74" i="16"/>
  <c r="AB73" i="16"/>
  <c r="AA73" i="16"/>
  <c r="H73" i="16"/>
  <c r="F73" i="16"/>
  <c r="AB72" i="16"/>
  <c r="AA72" i="16"/>
  <c r="H72" i="16"/>
  <c r="F72" i="16"/>
  <c r="AB71" i="16"/>
  <c r="AA71" i="16"/>
  <c r="F71" i="16"/>
  <c r="AB70" i="16"/>
  <c r="AA70" i="16"/>
  <c r="AB69" i="16"/>
  <c r="AA69" i="16"/>
  <c r="AB66" i="16"/>
  <c r="AA66" i="16"/>
  <c r="G66" i="16"/>
  <c r="H66" i="16" s="1"/>
  <c r="F66" i="16"/>
  <c r="AB65" i="16"/>
  <c r="AA65" i="16"/>
  <c r="G65" i="16"/>
  <c r="H65" i="16" s="1"/>
  <c r="E65" i="16"/>
  <c r="F65" i="16" s="1"/>
  <c r="AB64" i="16"/>
  <c r="AA64" i="16"/>
  <c r="G64" i="16"/>
  <c r="H64" i="16" s="1"/>
  <c r="E64" i="16"/>
  <c r="F64" i="16" s="1"/>
  <c r="AB63" i="16"/>
  <c r="AA63" i="16"/>
  <c r="E63" i="16"/>
  <c r="F63" i="16" s="1"/>
  <c r="AB62" i="16"/>
  <c r="AA62" i="16"/>
  <c r="G62" i="16"/>
  <c r="E62" i="16"/>
  <c r="C62" i="16"/>
  <c r="AB61" i="16"/>
  <c r="AA61" i="16"/>
  <c r="H61" i="16"/>
  <c r="F61" i="16"/>
  <c r="AB60" i="16"/>
  <c r="AA60" i="16"/>
  <c r="H60" i="16"/>
  <c r="F60" i="16"/>
  <c r="AB59" i="16"/>
  <c r="AA59" i="16"/>
  <c r="H59" i="16"/>
  <c r="F59" i="16"/>
  <c r="AB58" i="16"/>
  <c r="AA58" i="16"/>
  <c r="H58" i="16"/>
  <c r="F58" i="16"/>
  <c r="AB57" i="16"/>
  <c r="AA57" i="16"/>
  <c r="H57" i="16"/>
  <c r="F57" i="16"/>
  <c r="AB56" i="16"/>
  <c r="AA56" i="16"/>
  <c r="E56" i="16"/>
  <c r="F56" i="16" s="1"/>
  <c r="AB55" i="16"/>
  <c r="AA55" i="16"/>
  <c r="AB53" i="16"/>
  <c r="AA53" i="16"/>
  <c r="G53" i="16"/>
  <c r="H53" i="16" s="1"/>
  <c r="F53" i="16"/>
  <c r="AB52" i="16"/>
  <c r="AA52" i="16"/>
  <c r="G52" i="16"/>
  <c r="H52" i="16" s="1"/>
  <c r="F52" i="16"/>
  <c r="AB51" i="16"/>
  <c r="AA51" i="16"/>
  <c r="G51" i="16"/>
  <c r="H51" i="16" s="1"/>
  <c r="F51" i="16"/>
  <c r="AB50" i="16"/>
  <c r="AA50" i="16"/>
  <c r="F50" i="16"/>
  <c r="AB49" i="16"/>
  <c r="AA49" i="16"/>
  <c r="G49" i="16"/>
  <c r="C49" i="16"/>
  <c r="AB48" i="16"/>
  <c r="AA48" i="16"/>
  <c r="H48" i="16"/>
  <c r="F48" i="16"/>
  <c r="AB47" i="16"/>
  <c r="AA47" i="16"/>
  <c r="H47" i="16"/>
  <c r="F47" i="16"/>
  <c r="AB46" i="16"/>
  <c r="AA46" i="16"/>
  <c r="H46" i="16"/>
  <c r="F46" i="16"/>
  <c r="AB45" i="16"/>
  <c r="AA45" i="16"/>
  <c r="H45" i="16"/>
  <c r="F45" i="16"/>
  <c r="AB44" i="16"/>
  <c r="AA44" i="16"/>
  <c r="H44" i="16"/>
  <c r="F44" i="16"/>
  <c r="AB43" i="16"/>
  <c r="AA43" i="16"/>
  <c r="H43" i="16"/>
  <c r="F43" i="16"/>
  <c r="AB42" i="16"/>
  <c r="AA42" i="16"/>
  <c r="E42" i="16"/>
  <c r="F42" i="16" s="1"/>
  <c r="AB41" i="16"/>
  <c r="AA41" i="16"/>
  <c r="AB39" i="16"/>
  <c r="AA39" i="16"/>
  <c r="G39" i="16"/>
  <c r="H39" i="16" s="1"/>
  <c r="F39" i="16"/>
  <c r="AB38" i="16"/>
  <c r="AA38" i="16"/>
  <c r="G38" i="16"/>
  <c r="H38" i="16" s="1"/>
  <c r="E38" i="16"/>
  <c r="F38" i="16" s="1"/>
  <c r="AB37" i="16"/>
  <c r="AA37" i="16"/>
  <c r="G37" i="16"/>
  <c r="H37" i="16" s="1"/>
  <c r="E37" i="16"/>
  <c r="F37" i="16" s="1"/>
  <c r="AB36" i="16"/>
  <c r="AA36" i="16"/>
  <c r="E36" i="16"/>
  <c r="F36" i="16" s="1"/>
  <c r="AB35" i="16"/>
  <c r="AA35" i="16"/>
  <c r="G35" i="16"/>
  <c r="E35" i="16"/>
  <c r="C35" i="16"/>
  <c r="AB34" i="16"/>
  <c r="AA34" i="16"/>
  <c r="H34" i="16"/>
  <c r="F34" i="16"/>
  <c r="AB33" i="16"/>
  <c r="AA33" i="16"/>
  <c r="H33" i="16"/>
  <c r="F33" i="16"/>
  <c r="AB32" i="16"/>
  <c r="AA32" i="16"/>
  <c r="H32" i="16"/>
  <c r="F32" i="16"/>
  <c r="AB31" i="16"/>
  <c r="AA31" i="16"/>
  <c r="H31" i="16"/>
  <c r="F31" i="16"/>
  <c r="AB30" i="16"/>
  <c r="AA30" i="16"/>
  <c r="H30" i="16"/>
  <c r="F30" i="16"/>
  <c r="AB29" i="16"/>
  <c r="AA29" i="16"/>
  <c r="E29" i="16"/>
  <c r="F29" i="16" s="1"/>
  <c r="AB28" i="16"/>
  <c r="AA28" i="16"/>
  <c r="AB27" i="16"/>
  <c r="AA27" i="16"/>
  <c r="AB24" i="16"/>
  <c r="AA24" i="16"/>
  <c r="H24" i="16"/>
  <c r="F24" i="16"/>
  <c r="AB23" i="16"/>
  <c r="AA23" i="16"/>
  <c r="C21" i="16"/>
  <c r="H21" i="16" s="1"/>
  <c r="F20" i="16"/>
  <c r="I20" i="16" s="1"/>
  <c r="AB18" i="16"/>
  <c r="AA18" i="16"/>
  <c r="AB17" i="16"/>
  <c r="AA17" i="16"/>
  <c r="C17" i="16"/>
  <c r="C25" i="16" s="1"/>
  <c r="H25" i="16" s="1"/>
  <c r="AB15" i="16"/>
  <c r="AA15" i="16"/>
  <c r="AB14" i="16"/>
  <c r="AA14" i="16"/>
  <c r="H124" i="16"/>
  <c r="AB13" i="16"/>
  <c r="AA13" i="16"/>
  <c r="AB12" i="16"/>
  <c r="AA12" i="16"/>
  <c r="AB5" i="16"/>
  <c r="AA5" i="16"/>
  <c r="AB4" i="16"/>
  <c r="AA4" i="16"/>
  <c r="I4" i="16"/>
  <c r="AB3" i="16"/>
  <c r="AA3" i="16"/>
  <c r="AB2" i="16"/>
  <c r="AA2" i="16"/>
  <c r="AB59" i="15"/>
  <c r="AA59" i="15"/>
  <c r="AB58" i="15"/>
  <c r="AA58" i="15"/>
  <c r="AB57" i="15"/>
  <c r="AA57" i="15"/>
  <c r="H57" i="15"/>
  <c r="F57" i="15"/>
  <c r="AB56" i="15"/>
  <c r="AA56" i="15"/>
  <c r="AB54" i="15"/>
  <c r="AA54" i="15"/>
  <c r="H54" i="15"/>
  <c r="F54" i="15"/>
  <c r="AB53" i="15"/>
  <c r="AA53" i="15"/>
  <c r="H53" i="15"/>
  <c r="F53" i="15"/>
  <c r="AB52" i="15"/>
  <c r="AA52" i="15"/>
  <c r="H52" i="15"/>
  <c r="F52" i="15"/>
  <c r="AB51" i="15"/>
  <c r="AA51" i="15"/>
  <c r="H51" i="15"/>
  <c r="F51" i="15"/>
  <c r="AB50" i="15"/>
  <c r="AA50" i="15"/>
  <c r="AB49" i="15"/>
  <c r="AA49" i="15"/>
  <c r="H49" i="15"/>
  <c r="F49" i="15"/>
  <c r="AB48" i="15"/>
  <c r="AA48" i="15"/>
  <c r="C48" i="15"/>
  <c r="H48" i="15" s="1"/>
  <c r="AB47" i="15"/>
  <c r="AA47" i="15"/>
  <c r="C47" i="15"/>
  <c r="F47" i="15" s="1"/>
  <c r="AB46" i="15"/>
  <c r="AA46" i="15"/>
  <c r="H46" i="15"/>
  <c r="F46" i="15"/>
  <c r="AB45" i="15"/>
  <c r="AA45" i="15"/>
  <c r="C45" i="15"/>
  <c r="H45" i="15" s="1"/>
  <c r="AB44" i="15"/>
  <c r="AA44" i="15"/>
  <c r="AB42" i="15"/>
  <c r="AA42" i="15"/>
  <c r="H42" i="15"/>
  <c r="F42" i="15"/>
  <c r="AB41" i="15"/>
  <c r="AA41" i="15"/>
  <c r="H41" i="15"/>
  <c r="F41" i="15"/>
  <c r="AB40" i="15"/>
  <c r="AA40" i="15"/>
  <c r="H40" i="15"/>
  <c r="F40" i="15"/>
  <c r="AB39" i="15"/>
  <c r="AA39" i="15"/>
  <c r="H39" i="15"/>
  <c r="F39" i="15"/>
  <c r="AB38" i="15"/>
  <c r="AA38" i="15"/>
  <c r="H38" i="15"/>
  <c r="F38" i="15"/>
  <c r="AB37" i="15"/>
  <c r="AA37" i="15"/>
  <c r="AB36" i="15"/>
  <c r="AA36" i="15"/>
  <c r="H36" i="15"/>
  <c r="F36" i="15"/>
  <c r="AB35" i="15"/>
  <c r="AA35" i="15"/>
  <c r="C35" i="15"/>
  <c r="F35" i="15" s="1"/>
  <c r="AB34" i="15"/>
  <c r="AA34" i="15"/>
  <c r="H34" i="15"/>
  <c r="F34" i="15"/>
  <c r="AB33" i="15"/>
  <c r="AA33" i="15"/>
  <c r="C33" i="15"/>
  <c r="H33" i="15" s="1"/>
  <c r="AB32" i="15"/>
  <c r="AA32" i="15"/>
  <c r="C30" i="15"/>
  <c r="C29" i="15"/>
  <c r="H29" i="15" s="1"/>
  <c r="AB28" i="15"/>
  <c r="AA28" i="15"/>
  <c r="H28" i="15"/>
  <c r="F28" i="15"/>
  <c r="AB27" i="15"/>
  <c r="AA27" i="15"/>
  <c r="C27" i="15"/>
  <c r="H27" i="15" s="1"/>
  <c r="AB26" i="15"/>
  <c r="AA26" i="15"/>
  <c r="C26" i="15"/>
  <c r="F26" i="15" s="1"/>
  <c r="AB25" i="15"/>
  <c r="AA25" i="15"/>
  <c r="H25" i="15"/>
  <c r="F25" i="15"/>
  <c r="AB24" i="15"/>
  <c r="AA24" i="15"/>
  <c r="H24" i="15"/>
  <c r="F24" i="15"/>
  <c r="AB23" i="15"/>
  <c r="AA23" i="15"/>
  <c r="H23" i="15"/>
  <c r="F23" i="15"/>
  <c r="AB22" i="15"/>
  <c r="AA22" i="15"/>
  <c r="H22" i="15"/>
  <c r="F22" i="15"/>
  <c r="AB21" i="15"/>
  <c r="AA21" i="15"/>
  <c r="AB20" i="15"/>
  <c r="AA20" i="15"/>
  <c r="H20" i="15"/>
  <c r="F20" i="15"/>
  <c r="AB19" i="15"/>
  <c r="AA19" i="15"/>
  <c r="C19" i="15"/>
  <c r="F19" i="15" s="1"/>
  <c r="AB18" i="15"/>
  <c r="AA18" i="15"/>
  <c r="H18" i="15"/>
  <c r="F18" i="15"/>
  <c r="AB17" i="15"/>
  <c r="AA17" i="15"/>
  <c r="C17" i="15"/>
  <c r="H17" i="15" s="1"/>
  <c r="AB16" i="15"/>
  <c r="AA16" i="15"/>
  <c r="AB15" i="15"/>
  <c r="AA15" i="15"/>
  <c r="AB14" i="15"/>
  <c r="AA14" i="15"/>
  <c r="AB13" i="15"/>
  <c r="AA13" i="15"/>
  <c r="AB12" i="15"/>
  <c r="AA12" i="15"/>
  <c r="AB5" i="15"/>
  <c r="AA5" i="15"/>
  <c r="AB4" i="15"/>
  <c r="AA4" i="15"/>
  <c r="I4" i="15"/>
  <c r="AB3" i="15"/>
  <c r="AA3" i="15"/>
  <c r="AB2" i="15"/>
  <c r="AA2" i="15"/>
  <c r="F466" i="16" l="1"/>
  <c r="F395" i="16"/>
  <c r="I79" i="20"/>
  <c r="I127" i="20" s="1"/>
  <c r="D17" i="1" s="1"/>
  <c r="I126" i="18"/>
  <c r="D15" i="1" s="1"/>
  <c r="I115" i="17"/>
  <c r="I123" i="20"/>
  <c r="R8" i="15"/>
  <c r="Q8" i="15" s="1"/>
  <c r="R8" i="16"/>
  <c r="Q8" i="16" s="1"/>
  <c r="I152" i="17"/>
  <c r="I34" i="15"/>
  <c r="I51" i="19"/>
  <c r="I92" i="19"/>
  <c r="I93" i="19" s="1"/>
  <c r="I76" i="19"/>
  <c r="I77" i="19" s="1"/>
  <c r="I108" i="19"/>
  <c r="I109" i="19" s="1"/>
  <c r="I60" i="19"/>
  <c r="I61" i="19" s="1"/>
  <c r="H32" i="19"/>
  <c r="F32" i="19"/>
  <c r="I87" i="19"/>
  <c r="I88" i="19" s="1"/>
  <c r="I119" i="19"/>
  <c r="I72" i="19"/>
  <c r="G82" i="19"/>
  <c r="H82" i="19" s="1"/>
  <c r="F82" i="19"/>
  <c r="G213" i="17"/>
  <c r="H213" i="17" s="1"/>
  <c r="I213" i="17" s="1"/>
  <c r="I214" i="17" s="1"/>
  <c r="F108" i="17"/>
  <c r="I108" i="17" s="1"/>
  <c r="I109" i="17" s="1"/>
  <c r="I76" i="17"/>
  <c r="I61" i="17"/>
  <c r="I62" i="17" s="1"/>
  <c r="G203" i="17"/>
  <c r="H203" i="17" s="1"/>
  <c r="F203" i="17"/>
  <c r="I202" i="17"/>
  <c r="G219" i="17"/>
  <c r="H219" i="17" s="1"/>
  <c r="F219" i="17"/>
  <c r="I218" i="17"/>
  <c r="H77" i="17"/>
  <c r="F77" i="17"/>
  <c r="H226" i="16"/>
  <c r="I743" i="16"/>
  <c r="F723" i="16"/>
  <c r="F726" i="16"/>
  <c r="H475" i="16"/>
  <c r="C725" i="16"/>
  <c r="H237" i="16"/>
  <c r="I579" i="16"/>
  <c r="I650" i="16"/>
  <c r="F425" i="16"/>
  <c r="H127" i="16"/>
  <c r="F313" i="16"/>
  <c r="H323" i="16"/>
  <c r="I377" i="16"/>
  <c r="H425" i="16"/>
  <c r="F597" i="16"/>
  <c r="H683" i="16"/>
  <c r="H313" i="16"/>
  <c r="H474" i="16"/>
  <c r="H537" i="16"/>
  <c r="I668" i="16"/>
  <c r="I691" i="16"/>
  <c r="I701" i="16"/>
  <c r="I235" i="16"/>
  <c r="I364" i="16"/>
  <c r="I247" i="16"/>
  <c r="H547" i="16"/>
  <c r="I24" i="16"/>
  <c r="I45" i="16"/>
  <c r="F49" i="16"/>
  <c r="I670" i="16"/>
  <c r="I58" i="16"/>
  <c r="H74" i="16"/>
  <c r="F193" i="16"/>
  <c r="H204" i="16"/>
  <c r="I336" i="16"/>
  <c r="I591" i="16"/>
  <c r="I680" i="16"/>
  <c r="H35" i="16"/>
  <c r="I246" i="16"/>
  <c r="H292" i="16"/>
  <c r="I200" i="16"/>
  <c r="I130" i="16"/>
  <c r="H149" i="16"/>
  <c r="I233" i="16"/>
  <c r="I363" i="16"/>
  <c r="I398" i="16"/>
  <c r="H415" i="16"/>
  <c r="I497" i="16"/>
  <c r="I528" i="16"/>
  <c r="I620" i="16"/>
  <c r="I664" i="16"/>
  <c r="H706" i="16"/>
  <c r="I59" i="16"/>
  <c r="H365" i="16"/>
  <c r="F547" i="16"/>
  <c r="H597" i="16"/>
  <c r="I208" i="16"/>
  <c r="F204" i="16"/>
  <c r="I204" i="16" s="1"/>
  <c r="F215" i="16"/>
  <c r="I222" i="16"/>
  <c r="F343" i="16"/>
  <c r="I368" i="16"/>
  <c r="H435" i="16"/>
  <c r="H617" i="16"/>
  <c r="I685" i="16"/>
  <c r="F248" i="16"/>
  <c r="I356" i="16"/>
  <c r="I645" i="16"/>
  <c r="I86" i="16"/>
  <c r="I88" i="16"/>
  <c r="I103" i="16"/>
  <c r="H215" i="16"/>
  <c r="I290" i="16"/>
  <c r="H343" i="16"/>
  <c r="H395" i="16"/>
  <c r="I395" i="16" s="1"/>
  <c r="F485" i="16"/>
  <c r="I529" i="16"/>
  <c r="I536" i="16"/>
  <c r="I696" i="16"/>
  <c r="I702" i="16"/>
  <c r="F706" i="16"/>
  <c r="I708" i="16"/>
  <c r="F724" i="16"/>
  <c r="I123" i="16"/>
  <c r="F127" i="16"/>
  <c r="I351" i="16"/>
  <c r="F375" i="16"/>
  <c r="F405" i="16"/>
  <c r="H485" i="16"/>
  <c r="F495" i="16"/>
  <c r="I514" i="16"/>
  <c r="H724" i="16"/>
  <c r="H464" i="16"/>
  <c r="H557" i="16"/>
  <c r="I609" i="16"/>
  <c r="I631" i="16"/>
  <c r="I655" i="16"/>
  <c r="I236" i="16"/>
  <c r="I407" i="16"/>
  <c r="I682" i="16"/>
  <c r="F725" i="16"/>
  <c r="I98" i="16"/>
  <c r="F104" i="16"/>
  <c r="I106" i="16"/>
  <c r="H193" i="16"/>
  <c r="I193" i="16" s="1"/>
  <c r="I229" i="16"/>
  <c r="I509" i="16"/>
  <c r="F537" i="16"/>
  <c r="H725" i="16"/>
  <c r="I169" i="16"/>
  <c r="H104" i="16"/>
  <c r="I104" i="16" s="1"/>
  <c r="I108" i="16"/>
  <c r="F149" i="16"/>
  <c r="I251" i="16"/>
  <c r="I409" i="16"/>
  <c r="I519" i="16"/>
  <c r="H587" i="16"/>
  <c r="I606" i="16"/>
  <c r="F628" i="16"/>
  <c r="H673" i="16"/>
  <c r="I673" i="16" s="1"/>
  <c r="I570" i="16"/>
  <c r="I316" i="16"/>
  <c r="I345" i="16"/>
  <c r="F656" i="16"/>
  <c r="I43" i="16"/>
  <c r="F21" i="16"/>
  <c r="I21" i="16" s="1"/>
  <c r="I173" i="16"/>
  <c r="I32" i="16"/>
  <c r="I51" i="16"/>
  <c r="I53" i="16"/>
  <c r="H62" i="16"/>
  <c r="H114" i="16"/>
  <c r="I184" i="16"/>
  <c r="F272" i="16"/>
  <c r="I311" i="16"/>
  <c r="F353" i="16"/>
  <c r="I408" i="16"/>
  <c r="I424" i="16"/>
  <c r="F445" i="16"/>
  <c r="I540" i="16"/>
  <c r="H577" i="16"/>
  <c r="I610" i="16"/>
  <c r="H674" i="16"/>
  <c r="I674" i="16" s="1"/>
  <c r="H715" i="16"/>
  <c r="I137" i="16"/>
  <c r="I274" i="16"/>
  <c r="I413" i="16"/>
  <c r="H647" i="16"/>
  <c r="I658" i="16"/>
  <c r="I666" i="16"/>
  <c r="H49" i="16"/>
  <c r="I57" i="16"/>
  <c r="H94" i="16"/>
  <c r="H160" i="16"/>
  <c r="I346" i="16"/>
  <c r="F607" i="16"/>
  <c r="C18" i="16"/>
  <c r="R13" i="16"/>
  <c r="Q13" i="16" s="1"/>
  <c r="G29" i="16" s="1"/>
  <c r="H29" i="16" s="1"/>
  <c r="I29" i="16" s="1"/>
  <c r="I44" i="16"/>
  <c r="I46" i="16"/>
  <c r="I181" i="16"/>
  <c r="F282" i="16"/>
  <c r="H333" i="16"/>
  <c r="I438" i="16"/>
  <c r="H456" i="16"/>
  <c r="I565" i="16"/>
  <c r="H607" i="16"/>
  <c r="I667" i="16"/>
  <c r="F669" i="16"/>
  <c r="F676" i="16"/>
  <c r="I676" i="16" s="1"/>
  <c r="H693" i="16"/>
  <c r="I31" i="16"/>
  <c r="F74" i="16"/>
  <c r="H138" i="16"/>
  <c r="I153" i="16"/>
  <c r="I206" i="16"/>
  <c r="I269" i="16"/>
  <c r="I337" i="16"/>
  <c r="F462" i="16"/>
  <c r="F464" i="16"/>
  <c r="F475" i="16"/>
  <c r="I483" i="16"/>
  <c r="I494" i="16"/>
  <c r="I507" i="16"/>
  <c r="I539" i="16"/>
  <c r="H669" i="16"/>
  <c r="F683" i="16"/>
  <c r="I93" i="16"/>
  <c r="I140" i="16"/>
  <c r="I576" i="16"/>
  <c r="I709" i="16"/>
  <c r="I257" i="16"/>
  <c r="I175" i="16"/>
  <c r="I378" i="16"/>
  <c r="I393" i="16"/>
  <c r="I151" i="16"/>
  <c r="I72" i="16"/>
  <c r="I167" i="16"/>
  <c r="I78" i="16"/>
  <c r="I170" i="16"/>
  <c r="I197" i="16"/>
  <c r="I207" i="16"/>
  <c r="I214" i="16"/>
  <c r="F259" i="16"/>
  <c r="I275" i="16"/>
  <c r="H282" i="16"/>
  <c r="I284" i="16"/>
  <c r="I298" i="16"/>
  <c r="I300" i="16"/>
  <c r="F302" i="16"/>
  <c r="F365" i="16"/>
  <c r="I419" i="16"/>
  <c r="I433" i="16"/>
  <c r="F435" i="16"/>
  <c r="I455" i="16"/>
  <c r="I469" i="16"/>
  <c r="I518" i="16"/>
  <c r="F17" i="16"/>
  <c r="I17" i="16" s="1"/>
  <c r="I47" i="16"/>
  <c r="I66" i="16"/>
  <c r="I82" i="16"/>
  <c r="H84" i="16"/>
  <c r="I87" i="16"/>
  <c r="F94" i="16"/>
  <c r="I96" i="16"/>
  <c r="I118" i="16"/>
  <c r="I162" i="16"/>
  <c r="I180" i="16"/>
  <c r="H259" i="16"/>
  <c r="I261" i="16"/>
  <c r="H302" i="16"/>
  <c r="I304" i="16"/>
  <c r="I317" i="16"/>
  <c r="I322" i="16"/>
  <c r="I327" i="16"/>
  <c r="I341" i="16"/>
  <c r="H353" i="16"/>
  <c r="I355" i="16"/>
  <c r="I383" i="16"/>
  <c r="H385" i="16"/>
  <c r="I388" i="16"/>
  <c r="I459" i="16"/>
  <c r="I499" i="16"/>
  <c r="I559" i="16"/>
  <c r="I561" i="16"/>
  <c r="I596" i="16"/>
  <c r="I630" i="16"/>
  <c r="I278" i="16"/>
  <c r="I33" i="16"/>
  <c r="F35" i="16"/>
  <c r="I117" i="16"/>
  <c r="I145" i="16"/>
  <c r="I147" i="16"/>
  <c r="I164" i="16"/>
  <c r="F182" i="16"/>
  <c r="I230" i="16"/>
  <c r="I241" i="16"/>
  <c r="H272" i="16"/>
  <c r="H375" i="16"/>
  <c r="I437" i="16"/>
  <c r="F474" i="16"/>
  <c r="I477" i="16"/>
  <c r="I513" i="16"/>
  <c r="I255" i="16"/>
  <c r="I159" i="16"/>
  <c r="H182" i="16"/>
  <c r="I211" i="16"/>
  <c r="I288" i="16"/>
  <c r="F292" i="16"/>
  <c r="I331" i="16"/>
  <c r="F333" i="16"/>
  <c r="H405" i="16"/>
  <c r="I423" i="16"/>
  <c r="I439" i="16"/>
  <c r="I444" i="16"/>
  <c r="H445" i="16"/>
  <c r="H466" i="16"/>
  <c r="I484" i="16"/>
  <c r="I487" i="16"/>
  <c r="I503" i="16"/>
  <c r="I508" i="16"/>
  <c r="F515" i="16"/>
  <c r="I638" i="16"/>
  <c r="I141" i="16"/>
  <c r="I107" i="16"/>
  <c r="F114" i="16"/>
  <c r="I196" i="16"/>
  <c r="I213" i="16"/>
  <c r="I321" i="16"/>
  <c r="I347" i="16"/>
  <c r="I352" i="16"/>
  <c r="I374" i="16"/>
  <c r="I387" i="16"/>
  <c r="I449" i="16"/>
  <c r="F456" i="16"/>
  <c r="I498" i="16"/>
  <c r="H505" i="16"/>
  <c r="H515" i="16"/>
  <c r="I134" i="16"/>
  <c r="I124" i="16"/>
  <c r="I37" i="16"/>
  <c r="I65" i="16"/>
  <c r="I76" i="16"/>
  <c r="I203" i="16"/>
  <c r="I217" i="16"/>
  <c r="I219" i="16"/>
  <c r="F237" i="16"/>
  <c r="I250" i="16"/>
  <c r="F323" i="16"/>
  <c r="I335" i="16"/>
  <c r="I342" i="16"/>
  <c r="I394" i="16"/>
  <c r="I427" i="16"/>
  <c r="I465" i="16"/>
  <c r="I468" i="16"/>
  <c r="H525" i="16"/>
  <c r="I704" i="16"/>
  <c r="F732" i="16"/>
  <c r="H732" i="16"/>
  <c r="R3" i="16"/>
  <c r="Q3" i="16" s="1"/>
  <c r="G694" i="16" s="1"/>
  <c r="H694" i="16" s="1"/>
  <c r="I694" i="16" s="1"/>
  <c r="I39" i="16"/>
  <c r="I34" i="16"/>
  <c r="I48" i="16"/>
  <c r="I60" i="16"/>
  <c r="F62" i="16"/>
  <c r="I83" i="16"/>
  <c r="I97" i="16"/>
  <c r="I116" i="16"/>
  <c r="I126" i="16"/>
  <c r="I148" i="16"/>
  <c r="I163" i="16"/>
  <c r="I195" i="16"/>
  <c r="I224" i="16"/>
  <c r="F226" i="16"/>
  <c r="H248" i="16"/>
  <c r="I312" i="16"/>
  <c r="I315" i="16"/>
  <c r="I389" i="16"/>
  <c r="F415" i="16"/>
  <c r="I417" i="16"/>
  <c r="I443" i="16"/>
  <c r="H462" i="16"/>
  <c r="I472" i="16"/>
  <c r="F525" i="16"/>
  <c r="I635" i="16"/>
  <c r="I671" i="16"/>
  <c r="I690" i="16"/>
  <c r="I695" i="16"/>
  <c r="H736" i="16"/>
  <c r="I736" i="16" s="1"/>
  <c r="I517" i="16"/>
  <c r="I527" i="16"/>
  <c r="I555" i="16"/>
  <c r="F557" i="16"/>
  <c r="I560" i="16"/>
  <c r="F567" i="16"/>
  <c r="I605" i="16"/>
  <c r="F647" i="16"/>
  <c r="I665" i="16"/>
  <c r="I712" i="16"/>
  <c r="I719" i="16"/>
  <c r="H727" i="16"/>
  <c r="I535" i="16"/>
  <c r="I541" i="16"/>
  <c r="I550" i="16"/>
  <c r="H567" i="16"/>
  <c r="I581" i="16"/>
  <c r="I590" i="16"/>
  <c r="I663" i="16"/>
  <c r="I697" i="16"/>
  <c r="H738" i="16"/>
  <c r="I738" i="16" s="1"/>
  <c r="H495" i="16"/>
  <c r="I595" i="16"/>
  <c r="I600" i="16"/>
  <c r="I646" i="16"/>
  <c r="I649" i="16"/>
  <c r="I659" i="16"/>
  <c r="H672" i="16"/>
  <c r="I672" i="16" s="1"/>
  <c r="C739" i="16"/>
  <c r="F739" i="16" s="1"/>
  <c r="I545" i="16"/>
  <c r="I556" i="16"/>
  <c r="I571" i="16"/>
  <c r="I585" i="16"/>
  <c r="F587" i="16"/>
  <c r="I621" i="16"/>
  <c r="I686" i="16"/>
  <c r="I718" i="16"/>
  <c r="H734" i="16"/>
  <c r="I549" i="16"/>
  <c r="F617" i="16"/>
  <c r="H628" i="16"/>
  <c r="I651" i="16"/>
  <c r="H656" i="16"/>
  <c r="F693" i="16"/>
  <c r="H740" i="16"/>
  <c r="I740" i="16" s="1"/>
  <c r="I713" i="16"/>
  <c r="F715" i="16"/>
  <c r="I720" i="16"/>
  <c r="C741" i="16"/>
  <c r="F741" i="16" s="1"/>
  <c r="I30" i="16"/>
  <c r="I102" i="16"/>
  <c r="I112" i="16"/>
  <c r="I142" i="16"/>
  <c r="I156" i="16"/>
  <c r="I186" i="16"/>
  <c r="I192" i="16"/>
  <c r="I64" i="16"/>
  <c r="I129" i="16"/>
  <c r="I136" i="16"/>
  <c r="I38" i="16"/>
  <c r="I52" i="16"/>
  <c r="I92" i="16"/>
  <c r="I113" i="16"/>
  <c r="I131" i="16"/>
  <c r="I152" i="16"/>
  <c r="I178" i="16"/>
  <c r="I61" i="16"/>
  <c r="I73" i="16"/>
  <c r="I191" i="16"/>
  <c r="I77" i="16"/>
  <c r="I125" i="16"/>
  <c r="F25" i="16"/>
  <c r="I25" i="16" s="1"/>
  <c r="H157" i="16"/>
  <c r="I157" i="16" s="1"/>
  <c r="F171" i="16"/>
  <c r="H234" i="16"/>
  <c r="I234" i="16" s="1"/>
  <c r="I258" i="16"/>
  <c r="I285" i="16"/>
  <c r="I301" i="16"/>
  <c r="I326" i="16"/>
  <c r="H71" i="16"/>
  <c r="I71" i="16" s="1"/>
  <c r="F84" i="16"/>
  <c r="F138" i="16"/>
  <c r="H171" i="16"/>
  <c r="H190" i="16"/>
  <c r="I190" i="16" s="1"/>
  <c r="I240" i="16"/>
  <c r="H245" i="16"/>
  <c r="I245" i="16" s="1"/>
  <c r="I262" i="16"/>
  <c r="I294" i="16"/>
  <c r="I305" i="16"/>
  <c r="H101" i="16"/>
  <c r="I101" i="16" s="1"/>
  <c r="I225" i="16"/>
  <c r="H644" i="16"/>
  <c r="I644" i="16" s="1"/>
  <c r="H634" i="16"/>
  <c r="I634" i="16" s="1"/>
  <c r="H614" i="16"/>
  <c r="I614" i="16" s="1"/>
  <c r="H723" i="16"/>
  <c r="H679" i="16"/>
  <c r="I679" i="16" s="1"/>
  <c r="H654" i="16"/>
  <c r="I654" i="16" s="1"/>
  <c r="H626" i="16"/>
  <c r="I626" i="16" s="1"/>
  <c r="H534" i="16"/>
  <c r="I534" i="16" s="1"/>
  <c r="H463" i="16"/>
  <c r="I463" i="16" s="1"/>
  <c r="H584" i="16"/>
  <c r="I584" i="16" s="1"/>
  <c r="H512" i="16"/>
  <c r="I512" i="16" s="1"/>
  <c r="H422" i="16"/>
  <c r="I422" i="16" s="1"/>
  <c r="H554" i="16"/>
  <c r="I554" i="16" s="1"/>
  <c r="H482" i="16"/>
  <c r="I482" i="16" s="1"/>
  <c r="H473" i="16"/>
  <c r="I473" i="16" s="1"/>
  <c r="H442" i="16"/>
  <c r="I442" i="16" s="1"/>
  <c r="H574" i="16"/>
  <c r="I574" i="16" s="1"/>
  <c r="H502" i="16"/>
  <c r="I502" i="16" s="1"/>
  <c r="H412" i="16"/>
  <c r="I412" i="16" s="1"/>
  <c r="H544" i="16"/>
  <c r="I544" i="16" s="1"/>
  <c r="H454" i="16"/>
  <c r="I454" i="16" s="1"/>
  <c r="H382" i="16"/>
  <c r="I382" i="16" s="1"/>
  <c r="H522" i="16"/>
  <c r="I522" i="16" s="1"/>
  <c r="H432" i="16"/>
  <c r="I432" i="16" s="1"/>
  <c r="H604" i="16"/>
  <c r="I604" i="16" s="1"/>
  <c r="H594" i="16"/>
  <c r="I594" i="16" s="1"/>
  <c r="H564" i="16"/>
  <c r="I564" i="16" s="1"/>
  <c r="H492" i="16"/>
  <c r="I492" i="16" s="1"/>
  <c r="H402" i="16"/>
  <c r="I402" i="16" s="1"/>
  <c r="H362" i="16"/>
  <c r="I362" i="16" s="1"/>
  <c r="H330" i="16"/>
  <c r="I330" i="16" s="1"/>
  <c r="H223" i="16"/>
  <c r="I223" i="16" s="1"/>
  <c r="H372" i="16"/>
  <c r="I372" i="16" s="1"/>
  <c r="H350" i="16"/>
  <c r="I350" i="16" s="1"/>
  <c r="H256" i="16"/>
  <c r="I256" i="16" s="1"/>
  <c r="H320" i="16"/>
  <c r="I320" i="16" s="1"/>
  <c r="H280" i="16"/>
  <c r="I280" i="16" s="1"/>
  <c r="H392" i="16"/>
  <c r="I392" i="16" s="1"/>
  <c r="H340" i="16"/>
  <c r="I340" i="16" s="1"/>
  <c r="H299" i="16"/>
  <c r="I299" i="16" s="1"/>
  <c r="H310" i="16"/>
  <c r="I310" i="16" s="1"/>
  <c r="H270" i="16"/>
  <c r="I270" i="16" s="1"/>
  <c r="F160" i="16"/>
  <c r="I174" i="16"/>
  <c r="I239" i="16"/>
  <c r="I271" i="16"/>
  <c r="I289" i="16"/>
  <c r="I291" i="16"/>
  <c r="I325" i="16"/>
  <c r="I332" i="16"/>
  <c r="H81" i="16"/>
  <c r="I81" i="16" s="1"/>
  <c r="H135" i="16"/>
  <c r="I135" i="16" s="1"/>
  <c r="I189" i="16"/>
  <c r="I202" i="16"/>
  <c r="H212" i="16"/>
  <c r="I212" i="16" s="1"/>
  <c r="I252" i="16"/>
  <c r="H111" i="16"/>
  <c r="I111" i="16" s="1"/>
  <c r="H201" i="16"/>
  <c r="I201" i="16" s="1"/>
  <c r="I244" i="16"/>
  <c r="H146" i="16"/>
  <c r="I146" i="16" s="1"/>
  <c r="H168" i="16"/>
  <c r="I168" i="16" s="1"/>
  <c r="I185" i="16"/>
  <c r="I263" i="16"/>
  <c r="I268" i="16"/>
  <c r="I295" i="16"/>
  <c r="H91" i="16"/>
  <c r="I91" i="16" s="1"/>
  <c r="I158" i="16"/>
  <c r="H179" i="16"/>
  <c r="I179" i="16" s="1"/>
  <c r="I218" i="16"/>
  <c r="I228" i="16"/>
  <c r="I279" i="16"/>
  <c r="I281" i="16"/>
  <c r="I399" i="16"/>
  <c r="I434" i="16"/>
  <c r="I458" i="16"/>
  <c r="I489" i="16"/>
  <c r="I551" i="16"/>
  <c r="I599" i="16"/>
  <c r="I627" i="16"/>
  <c r="I367" i="16"/>
  <c r="I493" i="16"/>
  <c r="I546" i="16"/>
  <c r="I586" i="16"/>
  <c r="I601" i="16"/>
  <c r="I373" i="16"/>
  <c r="I403" i="16"/>
  <c r="F385" i="16"/>
  <c r="I429" i="16"/>
  <c r="I448" i="16"/>
  <c r="I488" i="16"/>
  <c r="I569" i="16"/>
  <c r="I524" i="16"/>
  <c r="I357" i="16"/>
  <c r="I369" i="16"/>
  <c r="I397" i="16"/>
  <c r="I414" i="16"/>
  <c r="I504" i="16"/>
  <c r="I566" i="16"/>
  <c r="I580" i="16"/>
  <c r="I379" i="16"/>
  <c r="I384" i="16"/>
  <c r="I404" i="16"/>
  <c r="I418" i="16"/>
  <c r="I428" i="16"/>
  <c r="I447" i="16"/>
  <c r="I523" i="16"/>
  <c r="I575" i="16"/>
  <c r="I589" i="16"/>
  <c r="F505" i="16"/>
  <c r="F577" i="16"/>
  <c r="I681" i="16"/>
  <c r="I687" i="16"/>
  <c r="I705" i="16"/>
  <c r="I717" i="16"/>
  <c r="H728" i="16"/>
  <c r="I615" i="16"/>
  <c r="H636" i="16"/>
  <c r="F636" i="16"/>
  <c r="I639" i="16"/>
  <c r="I619" i="16"/>
  <c r="I714" i="16"/>
  <c r="H675" i="16"/>
  <c r="F675" i="16"/>
  <c r="I703" i="16"/>
  <c r="F727" i="16"/>
  <c r="I734" i="16"/>
  <c r="I611" i="16"/>
  <c r="I616" i="16"/>
  <c r="I692" i="16"/>
  <c r="F728" i="16"/>
  <c r="H733" i="16"/>
  <c r="I733" i="16" s="1"/>
  <c r="H735" i="16"/>
  <c r="I735" i="16" s="1"/>
  <c r="H737" i="16"/>
  <c r="I737" i="16" s="1"/>
  <c r="H739" i="16"/>
  <c r="I739" i="16" s="1"/>
  <c r="C742" i="16"/>
  <c r="I23" i="15"/>
  <c r="I25" i="15"/>
  <c r="H26" i="15"/>
  <c r="I26" i="15" s="1"/>
  <c r="I51" i="15"/>
  <c r="I53" i="15"/>
  <c r="I18" i="15"/>
  <c r="I49" i="15"/>
  <c r="H35" i="15"/>
  <c r="I35" i="15" s="1"/>
  <c r="F45" i="15"/>
  <c r="I45" i="15" s="1"/>
  <c r="I24" i="15"/>
  <c r="I38" i="15"/>
  <c r="R13" i="15"/>
  <c r="Q13" i="15" s="1"/>
  <c r="H30" i="15"/>
  <c r="F30" i="15"/>
  <c r="I20" i="15"/>
  <c r="I40" i="15"/>
  <c r="I42" i="15"/>
  <c r="H47" i="15"/>
  <c r="I47" i="15" s="1"/>
  <c r="I57" i="15"/>
  <c r="I36" i="15"/>
  <c r="R3" i="15"/>
  <c r="Q3" i="15" s="1"/>
  <c r="H19" i="15"/>
  <c r="I19" i="15" s="1"/>
  <c r="I52" i="15"/>
  <c r="I54" i="15"/>
  <c r="I46" i="15"/>
  <c r="I22" i="15"/>
  <c r="I28" i="15"/>
  <c r="I39" i="15"/>
  <c r="I41" i="15"/>
  <c r="F17" i="15"/>
  <c r="F33" i="15"/>
  <c r="I33" i="15" s="1"/>
  <c r="F27" i="15"/>
  <c r="I27" i="15" s="1"/>
  <c r="F29" i="15"/>
  <c r="I29" i="15" s="1"/>
  <c r="F48" i="15"/>
  <c r="I48" i="15" s="1"/>
  <c r="I725" i="16" l="1"/>
  <c r="I515" i="16"/>
  <c r="I466" i="16"/>
  <c r="I226" i="16"/>
  <c r="I32" i="19"/>
  <c r="I33" i="19" s="1"/>
  <c r="I43" i="19" s="1"/>
  <c r="I139" i="19" s="1"/>
  <c r="I82" i="19"/>
  <c r="I83" i="19" s="1"/>
  <c r="I94" i="19" s="1"/>
  <c r="I219" i="17"/>
  <c r="I220" i="17" s="1"/>
  <c r="I77" i="17"/>
  <c r="I203" i="17"/>
  <c r="I204" i="17" s="1"/>
  <c r="I236" i="17" s="1"/>
  <c r="H741" i="16"/>
  <c r="I741" i="16" s="1"/>
  <c r="I723" i="16"/>
  <c r="I727" i="16"/>
  <c r="I505" i="16"/>
  <c r="I475" i="16"/>
  <c r="I160" i="16"/>
  <c r="I343" i="16"/>
  <c r="I149" i="16"/>
  <c r="I706" i="16"/>
  <c r="I237" i="16"/>
  <c r="G303" i="16"/>
  <c r="H303" i="16" s="1"/>
  <c r="I303" i="16" s="1"/>
  <c r="G629" i="16"/>
  <c r="H629" i="16" s="1"/>
  <c r="I629" i="16" s="1"/>
  <c r="I323" i="16"/>
  <c r="I587" i="16"/>
  <c r="I656" i="16"/>
  <c r="I365" i="16"/>
  <c r="I35" i="16"/>
  <c r="I577" i="16"/>
  <c r="G42" i="16"/>
  <c r="H42" i="16" s="1"/>
  <c r="I42" i="16" s="1"/>
  <c r="I62" i="16"/>
  <c r="G56" i="16"/>
  <c r="H56" i="16" s="1"/>
  <c r="I56" i="16" s="1"/>
  <c r="I127" i="16"/>
  <c r="G161" i="16"/>
  <c r="H161" i="16" s="1"/>
  <c r="I161" i="16" s="1"/>
  <c r="I456" i="16"/>
  <c r="I333" i="16"/>
  <c r="I49" i="16"/>
  <c r="I547" i="16"/>
  <c r="G95" i="16"/>
  <c r="H95" i="16" s="1"/>
  <c r="I95" i="16" s="1"/>
  <c r="I464" i="16"/>
  <c r="I385" i="16"/>
  <c r="I94" i="16"/>
  <c r="G150" i="16"/>
  <c r="H150" i="16" s="1"/>
  <c r="I150" i="16" s="1"/>
  <c r="G608" i="16"/>
  <c r="H608" i="16" s="1"/>
  <c r="I608" i="16" s="1"/>
  <c r="I302" i="16"/>
  <c r="G128" i="16"/>
  <c r="H128" i="16" s="1"/>
  <c r="I128" i="16" s="1"/>
  <c r="I495" i="16"/>
  <c r="G324" i="16"/>
  <c r="H324" i="16" s="1"/>
  <c r="I324" i="16" s="1"/>
  <c r="I138" i="16"/>
  <c r="G227" i="16"/>
  <c r="H227" i="16" s="1"/>
  <c r="I227" i="16" s="1"/>
  <c r="I557" i="16"/>
  <c r="I84" i="16"/>
  <c r="G139" i="16"/>
  <c r="H139" i="16" s="1"/>
  <c r="I139" i="16" s="1"/>
  <c r="G446" i="16"/>
  <c r="H446" i="16" s="1"/>
  <c r="I446" i="16" s="1"/>
  <c r="I292" i="16"/>
  <c r="I353" i="16"/>
  <c r="G63" i="16"/>
  <c r="H63" i="16" s="1"/>
  <c r="I63" i="16" s="1"/>
  <c r="G354" i="16"/>
  <c r="H354" i="16" s="1"/>
  <c r="I354" i="16" s="1"/>
  <c r="I567" i="16"/>
  <c r="G36" i="16"/>
  <c r="H36" i="16" s="1"/>
  <c r="I36" i="16" s="1"/>
  <c r="G238" i="16"/>
  <c r="H238" i="16" s="1"/>
  <c r="I238" i="16" s="1"/>
  <c r="I724" i="16"/>
  <c r="I313" i="16"/>
  <c r="G115" i="16"/>
  <c r="H115" i="16" s="1"/>
  <c r="I115" i="16" s="1"/>
  <c r="G283" i="16"/>
  <c r="H283" i="16" s="1"/>
  <c r="I283" i="16" s="1"/>
  <c r="I474" i="16"/>
  <c r="I435" i="16"/>
  <c r="I282" i="16"/>
  <c r="I715" i="16"/>
  <c r="I405" i="16"/>
  <c r="I215" i="16"/>
  <c r="I597" i="16"/>
  <c r="I74" i="16"/>
  <c r="I375" i="16"/>
  <c r="I537" i="16"/>
  <c r="I628" i="16"/>
  <c r="G75" i="16"/>
  <c r="H75" i="16" s="1"/>
  <c r="I75" i="16" s="1"/>
  <c r="G293" i="16"/>
  <c r="H293" i="16" s="1"/>
  <c r="I293" i="16" s="1"/>
  <c r="G558" i="16"/>
  <c r="H558" i="16" s="1"/>
  <c r="I558" i="16" s="1"/>
  <c r="I425" i="16"/>
  <c r="G273" i="16"/>
  <c r="H273" i="16" s="1"/>
  <c r="I273" i="16" s="1"/>
  <c r="G538" i="16"/>
  <c r="H538" i="16" s="1"/>
  <c r="I538" i="16" s="1"/>
  <c r="G344" i="16"/>
  <c r="H344" i="16" s="1"/>
  <c r="I344" i="16" s="1"/>
  <c r="G386" i="16"/>
  <c r="H386" i="16" s="1"/>
  <c r="I386" i="16" s="1"/>
  <c r="G366" i="16"/>
  <c r="H366" i="16" s="1"/>
  <c r="I366" i="16" s="1"/>
  <c r="G506" i="16"/>
  <c r="H506" i="16" s="1"/>
  <c r="I506" i="16" s="1"/>
  <c r="G648" i="16"/>
  <c r="H648" i="16" s="1"/>
  <c r="I648" i="16" s="1"/>
  <c r="G406" i="16"/>
  <c r="H406" i="16" s="1"/>
  <c r="I406" i="16" s="1"/>
  <c r="G578" i="16"/>
  <c r="H578" i="16" s="1"/>
  <c r="I578" i="16" s="1"/>
  <c r="G105" i="16"/>
  <c r="H105" i="16" s="1"/>
  <c r="I105" i="16" s="1"/>
  <c r="G183" i="16"/>
  <c r="H183" i="16" s="1"/>
  <c r="I183" i="16" s="1"/>
  <c r="G249" i="16"/>
  <c r="H249" i="16" s="1"/>
  <c r="I249" i="16" s="1"/>
  <c r="G598" i="16"/>
  <c r="H598" i="16" s="1"/>
  <c r="I598" i="16" s="1"/>
  <c r="I617" i="16"/>
  <c r="I647" i="16"/>
  <c r="I485" i="16"/>
  <c r="G496" i="16"/>
  <c r="H496" i="16" s="1"/>
  <c r="I496" i="16" s="1"/>
  <c r="G172" i="16"/>
  <c r="H172" i="16" s="1"/>
  <c r="I172" i="16" s="1"/>
  <c r="G314" i="16"/>
  <c r="H314" i="16" s="1"/>
  <c r="I314" i="16" s="1"/>
  <c r="G486" i="16"/>
  <c r="H486" i="16" s="1"/>
  <c r="I486" i="16" s="1"/>
  <c r="G548" i="16"/>
  <c r="H548" i="16" s="1"/>
  <c r="I548" i="16" s="1"/>
  <c r="I693" i="16"/>
  <c r="I698" i="16" s="1"/>
  <c r="G707" i="16"/>
  <c r="H707" i="16" s="1"/>
  <c r="I707" i="16" s="1"/>
  <c r="I683" i="16"/>
  <c r="G716" i="16"/>
  <c r="H716" i="16" s="1"/>
  <c r="I716" i="16" s="1"/>
  <c r="G396" i="16"/>
  <c r="H396" i="16" s="1"/>
  <c r="I396" i="16" s="1"/>
  <c r="I400" i="16" s="1"/>
  <c r="G568" i="16"/>
  <c r="H568" i="16" s="1"/>
  <c r="I568" i="16" s="1"/>
  <c r="I415" i="16"/>
  <c r="G50" i="16"/>
  <c r="H50" i="16" s="1"/>
  <c r="I50" i="16" s="1"/>
  <c r="G194" i="16"/>
  <c r="H194" i="16" s="1"/>
  <c r="I194" i="16" s="1"/>
  <c r="I198" i="16" s="1"/>
  <c r="G216" i="16"/>
  <c r="H216" i="16" s="1"/>
  <c r="I216" i="16" s="1"/>
  <c r="G334" i="16"/>
  <c r="H334" i="16" s="1"/>
  <c r="I334" i="16" s="1"/>
  <c r="G416" i="16"/>
  <c r="H416" i="16" s="1"/>
  <c r="I416" i="16" s="1"/>
  <c r="G516" i="16"/>
  <c r="H516" i="16" s="1"/>
  <c r="I516" i="16" s="1"/>
  <c r="G436" i="16"/>
  <c r="H436" i="16" s="1"/>
  <c r="I436" i="16" s="1"/>
  <c r="I248" i="16"/>
  <c r="I445" i="16"/>
  <c r="G85" i="16"/>
  <c r="H85" i="16" s="1"/>
  <c r="I85" i="16" s="1"/>
  <c r="G205" i="16"/>
  <c r="H205" i="16" s="1"/>
  <c r="I205" i="16" s="1"/>
  <c r="I209" i="16" s="1"/>
  <c r="G260" i="16"/>
  <c r="H260" i="16" s="1"/>
  <c r="I260" i="16" s="1"/>
  <c r="G376" i="16"/>
  <c r="H376" i="16" s="1"/>
  <c r="I376" i="16" s="1"/>
  <c r="G457" i="16"/>
  <c r="H457" i="16" s="1"/>
  <c r="I457" i="16" s="1"/>
  <c r="G588" i="16"/>
  <c r="H588" i="16" s="1"/>
  <c r="I588" i="16" s="1"/>
  <c r="G526" i="16"/>
  <c r="H526" i="16" s="1"/>
  <c r="I526" i="16" s="1"/>
  <c r="I462" i="16"/>
  <c r="I732" i="16"/>
  <c r="I669" i="16"/>
  <c r="I182" i="16"/>
  <c r="I272" i="16"/>
  <c r="G684" i="16"/>
  <c r="H684" i="16" s="1"/>
  <c r="I684" i="16" s="1"/>
  <c r="I114" i="16"/>
  <c r="H18" i="16"/>
  <c r="F18" i="16"/>
  <c r="I607" i="16"/>
  <c r="I675" i="16"/>
  <c r="I636" i="16"/>
  <c r="G426" i="16"/>
  <c r="H426" i="16" s="1"/>
  <c r="I426" i="16" s="1"/>
  <c r="G467" i="16"/>
  <c r="H467" i="16" s="1"/>
  <c r="I467" i="16" s="1"/>
  <c r="G657" i="16"/>
  <c r="H657" i="16" s="1"/>
  <c r="I657" i="16" s="1"/>
  <c r="I525" i="16"/>
  <c r="I259" i="16"/>
  <c r="G726" i="16"/>
  <c r="H726" i="16" s="1"/>
  <c r="I726" i="16" s="1"/>
  <c r="G618" i="16"/>
  <c r="H618" i="16" s="1"/>
  <c r="I618" i="16" s="1"/>
  <c r="G476" i="16"/>
  <c r="H476" i="16" s="1"/>
  <c r="I476" i="16" s="1"/>
  <c r="G637" i="16"/>
  <c r="H637" i="16" s="1"/>
  <c r="I637" i="16" s="1"/>
  <c r="I171" i="16"/>
  <c r="I728" i="16"/>
  <c r="H742" i="16"/>
  <c r="F742" i="16"/>
  <c r="I30" i="15"/>
  <c r="H59" i="15"/>
  <c r="F59" i="15"/>
  <c r="I17" i="15"/>
  <c r="I520" i="16" l="1"/>
  <c r="I677" i="16"/>
  <c r="I652" i="16"/>
  <c r="I632" i="16"/>
  <c r="I729" i="16"/>
  <c r="I640" i="16"/>
  <c r="I622" i="16"/>
  <c r="I552" i="16"/>
  <c r="I470" i="16"/>
  <c r="I602" i="16"/>
  <c r="D16" i="1"/>
  <c r="I592" i="16"/>
  <c r="I688" i="16"/>
  <c r="I490" i="16"/>
  <c r="I500" i="16"/>
  <c r="I510" i="16"/>
  <c r="I530" i="16"/>
  <c r="I612" i="16"/>
  <c r="I721" i="16"/>
  <c r="I582" i="16"/>
  <c r="I542" i="16"/>
  <c r="I572" i="16"/>
  <c r="I562" i="16"/>
  <c r="I231" i="16"/>
  <c r="I660" i="16"/>
  <c r="I420" i="16"/>
  <c r="I176" i="16"/>
  <c r="I306" i="16"/>
  <c r="I450" i="16"/>
  <c r="I286" i="16"/>
  <c r="I710" i="16"/>
  <c r="I276" i="16"/>
  <c r="I187" i="16"/>
  <c r="I358" i="16"/>
  <c r="I264" i="16"/>
  <c r="I165" i="16"/>
  <c r="I410" i="16"/>
  <c r="I242" i="16"/>
  <c r="I338" i="16"/>
  <c r="I440" i="16"/>
  <c r="I460" i="16"/>
  <c r="I370" i="16"/>
  <c r="I154" i="16"/>
  <c r="I253" i="16"/>
  <c r="I380" i="16"/>
  <c r="I348" i="16"/>
  <c r="I143" i="16"/>
  <c r="I390" i="16"/>
  <c r="I132" i="16"/>
  <c r="I328" i="16"/>
  <c r="I478" i="16"/>
  <c r="I430" i="16"/>
  <c r="I220" i="16"/>
  <c r="I318" i="16"/>
  <c r="I296" i="16"/>
  <c r="I18" i="16"/>
  <c r="I742" i="16"/>
  <c r="I744" i="16" s="1"/>
  <c r="D12" i="1"/>
  <c r="I661" i="16" l="1"/>
  <c r="I641" i="16"/>
  <c r="I12" i="1"/>
  <c r="J12" i="1" s="1"/>
  <c r="AF22" i="16"/>
  <c r="AF23" i="16" s="1"/>
  <c r="I531" i="16"/>
  <c r="I307" i="16"/>
  <c r="I623" i="16"/>
  <c r="I730" i="16"/>
  <c r="I479" i="16"/>
  <c r="I359" i="16"/>
  <c r="I120" i="16"/>
  <c r="I68" i="16"/>
  <c r="I451" i="16"/>
  <c r="I265" i="16"/>
  <c r="I13" i="1" s="1"/>
  <c r="J13" i="1" s="1"/>
  <c r="K13" i="1" s="1"/>
  <c r="I14" i="1" l="1"/>
  <c r="J14" i="1" s="1"/>
  <c r="K14" i="1" s="1"/>
  <c r="K12" i="1"/>
  <c r="I745" i="16"/>
  <c r="D13" i="1" s="1"/>
  <c r="G13" i="9"/>
  <c r="F13" i="9"/>
  <c r="D13" i="9"/>
  <c r="C13" i="9"/>
  <c r="K22" i="1" l="1"/>
  <c r="L15" i="1"/>
  <c r="S226" i="13"/>
  <c r="M16" i="14" l="1"/>
  <c r="C72" i="17" s="1"/>
  <c r="H72" i="17" l="1"/>
  <c r="F72" i="17"/>
  <c r="A4" i="9"/>
  <c r="A5" i="9"/>
  <c r="A3" i="9"/>
  <c r="A2" i="9"/>
  <c r="I72" i="17" l="1"/>
  <c r="I78" i="17" s="1"/>
  <c r="I116" i="17" s="1"/>
  <c r="AF26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G12" i="14"/>
  <c r="AF12" i="14"/>
  <c r="DI263" i="13"/>
  <c r="DN262" i="13"/>
  <c r="DN261" i="13"/>
  <c r="DN260" i="13"/>
  <c r="DN259" i="13"/>
  <c r="DN258" i="13"/>
  <c r="DN257" i="13"/>
  <c r="DN256" i="13"/>
  <c r="DN255" i="13"/>
  <c r="DN254" i="13"/>
  <c r="DN253" i="13"/>
  <c r="DN252" i="13"/>
  <c r="DN251" i="13"/>
  <c r="DN250" i="13"/>
  <c r="DN249" i="13"/>
  <c r="DN248" i="13"/>
  <c r="DN247" i="13"/>
  <c r="DN246" i="13"/>
  <c r="DN245" i="13"/>
  <c r="DN244" i="13"/>
  <c r="DN243" i="13"/>
  <c r="DN242" i="13"/>
  <c r="DN241" i="13"/>
  <c r="DN240" i="13"/>
  <c r="DN239" i="13"/>
  <c r="DN238" i="13"/>
  <c r="DN237" i="13"/>
  <c r="DN236" i="13"/>
  <c r="DN235" i="13"/>
  <c r="DN234" i="13"/>
  <c r="DN233" i="13"/>
  <c r="DN232" i="13"/>
  <c r="DN231" i="13"/>
  <c r="DN230" i="13"/>
  <c r="DN229" i="13"/>
  <c r="DN228" i="13"/>
  <c r="DN227" i="13"/>
  <c r="DN226" i="13"/>
  <c r="DN225" i="13"/>
  <c r="DN224" i="13"/>
  <c r="DN223" i="13"/>
  <c r="DN222" i="13"/>
  <c r="DN221" i="13"/>
  <c r="DN220" i="13"/>
  <c r="DN219" i="13"/>
  <c r="DN218" i="13"/>
  <c r="DN217" i="13"/>
  <c r="DN216" i="13"/>
  <c r="DN215" i="13"/>
  <c r="DN214" i="13"/>
  <c r="DN213" i="13"/>
  <c r="DN211" i="13"/>
  <c r="DN210" i="13"/>
  <c r="DN209" i="13"/>
  <c r="DN208" i="13"/>
  <c r="DN207" i="13"/>
  <c r="DN206" i="13"/>
  <c r="DN205" i="13"/>
  <c r="DN204" i="13"/>
  <c r="DN203" i="13"/>
  <c r="DN202" i="13"/>
  <c r="DN201" i="13"/>
  <c r="DN200" i="13"/>
  <c r="DN199" i="13"/>
  <c r="DN198" i="13"/>
  <c r="DN197" i="13"/>
  <c r="DN196" i="13"/>
  <c r="DN195" i="13"/>
  <c r="DN194" i="13"/>
  <c r="DN193" i="13"/>
  <c r="DN192" i="13"/>
  <c r="DN191" i="13"/>
  <c r="DN190" i="13"/>
  <c r="DN189" i="13"/>
  <c r="DN188" i="13"/>
  <c r="DN187" i="13"/>
  <c r="DN186" i="13"/>
  <c r="DN185" i="13"/>
  <c r="DN184" i="13"/>
  <c r="DN183" i="13"/>
  <c r="DN182" i="13"/>
  <c r="DN181" i="13"/>
  <c r="DN180" i="13"/>
  <c r="DN179" i="13"/>
  <c r="DN178" i="13"/>
  <c r="DN177" i="13"/>
  <c r="DN176" i="13"/>
  <c r="DN175" i="13"/>
  <c r="DN174" i="13"/>
  <c r="DN173" i="13"/>
  <c r="DN172" i="13"/>
  <c r="DN171" i="13"/>
  <c r="DN170" i="13"/>
  <c r="DN169" i="13"/>
  <c r="DN168" i="13"/>
  <c r="DN167" i="13"/>
  <c r="DN166" i="13"/>
  <c r="DN165" i="13"/>
  <c r="DN164" i="13"/>
  <c r="DN163" i="13"/>
  <c r="DN162" i="13"/>
  <c r="DN161" i="13"/>
  <c r="DN160" i="13"/>
  <c r="DN159" i="13"/>
  <c r="DN158" i="13"/>
  <c r="DN157" i="13"/>
  <c r="DN156" i="13"/>
  <c r="DN155" i="13"/>
  <c r="DN154" i="13"/>
  <c r="DN153" i="13"/>
  <c r="DN152" i="13"/>
  <c r="DN151" i="13"/>
  <c r="DN150" i="13"/>
  <c r="DN149" i="13"/>
  <c r="DN148" i="13"/>
  <c r="DN147" i="13"/>
  <c r="DN146" i="13"/>
  <c r="DN145" i="13"/>
  <c r="DN144" i="13"/>
  <c r="DN143" i="13"/>
  <c r="DN142" i="13"/>
  <c r="DN141" i="13"/>
  <c r="DN140" i="13"/>
  <c r="DN139" i="13"/>
  <c r="DN138" i="13"/>
  <c r="DN137" i="13"/>
  <c r="DN136" i="13"/>
  <c r="DN135" i="13"/>
  <c r="DN134" i="13"/>
  <c r="DN133" i="13"/>
  <c r="DN132" i="13"/>
  <c r="DN131" i="13"/>
  <c r="DN130" i="13"/>
  <c r="DN129" i="13"/>
  <c r="DN128" i="13"/>
  <c r="DN127" i="13"/>
  <c r="DN126" i="13"/>
  <c r="DN125" i="13"/>
  <c r="DN124" i="13"/>
  <c r="DN123" i="13"/>
  <c r="DN122" i="13"/>
  <c r="DN121" i="13"/>
  <c r="DN120" i="13"/>
  <c r="DN119" i="13"/>
  <c r="DN118" i="13"/>
  <c r="DN117" i="13"/>
  <c r="DN116" i="13"/>
  <c r="DN115" i="13"/>
  <c r="DN114" i="13"/>
  <c r="DN113" i="13"/>
  <c r="DN112" i="13"/>
  <c r="DN111" i="13"/>
  <c r="DN110" i="13"/>
  <c r="DN109" i="13"/>
  <c r="DN108" i="13"/>
  <c r="DN107" i="13"/>
  <c r="DN106" i="13"/>
  <c r="DN105" i="13"/>
  <c r="DN104" i="13"/>
  <c r="DN103" i="13"/>
  <c r="DN102" i="13"/>
  <c r="DI101" i="13"/>
  <c r="DI212" i="13" s="1"/>
  <c r="DN100" i="13"/>
  <c r="DN99" i="13"/>
  <c r="DN98" i="13"/>
  <c r="DN97" i="13"/>
  <c r="DN96" i="13"/>
  <c r="DN95" i="13"/>
  <c r="DN94" i="13"/>
  <c r="DN93" i="13"/>
  <c r="DN92" i="13"/>
  <c r="DN91" i="13"/>
  <c r="DN90" i="13"/>
  <c r="DN89" i="13"/>
  <c r="DN88" i="13"/>
  <c r="DN87" i="13"/>
  <c r="DN86" i="13"/>
  <c r="DN85" i="13"/>
  <c r="DN84" i="13"/>
  <c r="DN83" i="13"/>
  <c r="DN82" i="13"/>
  <c r="DN81" i="13"/>
  <c r="DN80" i="13"/>
  <c r="DN79" i="13"/>
  <c r="DN78" i="13"/>
  <c r="DN77" i="13"/>
  <c r="DN76" i="13"/>
  <c r="DN75" i="13"/>
  <c r="DN74" i="13"/>
  <c r="DN73" i="13"/>
  <c r="DN72" i="13"/>
  <c r="DN71" i="13"/>
  <c r="DN70" i="13"/>
  <c r="DN69" i="13"/>
  <c r="DN68" i="13"/>
  <c r="DN67" i="13"/>
  <c r="DN66" i="13"/>
  <c r="DN65" i="13"/>
  <c r="DN64" i="13"/>
  <c r="DN63" i="13"/>
  <c r="DN62" i="13"/>
  <c r="DN61" i="13"/>
  <c r="DN60" i="13"/>
  <c r="DN59" i="13"/>
  <c r="DN58" i="13"/>
  <c r="DN57" i="13"/>
  <c r="DN56" i="13"/>
  <c r="DN55" i="13"/>
  <c r="DN54" i="13"/>
  <c r="DN53" i="13"/>
  <c r="DN52" i="13"/>
  <c r="DN51" i="13"/>
  <c r="DN50" i="13"/>
  <c r="DN49" i="13"/>
  <c r="DN48" i="13"/>
  <c r="DN47" i="13"/>
  <c r="DN46" i="13"/>
  <c r="DN45" i="13"/>
  <c r="DN44" i="13"/>
  <c r="DN43" i="13"/>
  <c r="DN42" i="13"/>
  <c r="DN41" i="13"/>
  <c r="DN40" i="13"/>
  <c r="DN39" i="13"/>
  <c r="DN38" i="13"/>
  <c r="DN37" i="13"/>
  <c r="DN36" i="13"/>
  <c r="DN35" i="13"/>
  <c r="DN34" i="13"/>
  <c r="DN33" i="13"/>
  <c r="DN32" i="13"/>
  <c r="DN31" i="13"/>
  <c r="DN30" i="13"/>
  <c r="DN29" i="13"/>
  <c r="DN28" i="13"/>
  <c r="DN27" i="13"/>
  <c r="DN26" i="13"/>
  <c r="DN25" i="13"/>
  <c r="DN24" i="13"/>
  <c r="DN23" i="13"/>
  <c r="DN22" i="13"/>
  <c r="DN21" i="13"/>
  <c r="DN20" i="13"/>
  <c r="DN19" i="13"/>
  <c r="DN18" i="13"/>
  <c r="DN17" i="13"/>
  <c r="DN16" i="13"/>
  <c r="DN15" i="13"/>
  <c r="DN14" i="13"/>
  <c r="DN13" i="13"/>
  <c r="DN12" i="13"/>
  <c r="DN11" i="13"/>
  <c r="DN10" i="13"/>
  <c r="DN9" i="13"/>
  <c r="DN8" i="13"/>
  <c r="DN7" i="13"/>
  <c r="DN6" i="13"/>
  <c r="DN5" i="13"/>
  <c r="DN4" i="13"/>
  <c r="DN3" i="13"/>
  <c r="DB263" i="13"/>
  <c r="DG262" i="13"/>
  <c r="DG261" i="13"/>
  <c r="DG260" i="13"/>
  <c r="DG259" i="13"/>
  <c r="DG258" i="13"/>
  <c r="DG257" i="13"/>
  <c r="DG256" i="13"/>
  <c r="DG255" i="13"/>
  <c r="DG254" i="13"/>
  <c r="DG253" i="13"/>
  <c r="DG252" i="13"/>
  <c r="DG251" i="13"/>
  <c r="DG250" i="13"/>
  <c r="DG249" i="13"/>
  <c r="DG248" i="13"/>
  <c r="DG247" i="13"/>
  <c r="DG246" i="13"/>
  <c r="DG245" i="13"/>
  <c r="DG244" i="13"/>
  <c r="DG243" i="13"/>
  <c r="DG242" i="13"/>
  <c r="DG241" i="13"/>
  <c r="DG240" i="13"/>
  <c r="DG239" i="13"/>
  <c r="DG238" i="13"/>
  <c r="DG237" i="13"/>
  <c r="DG236" i="13"/>
  <c r="DG235" i="13"/>
  <c r="DG234" i="13"/>
  <c r="DG233" i="13"/>
  <c r="DG232" i="13"/>
  <c r="DG231" i="13"/>
  <c r="DG230" i="13"/>
  <c r="DG229" i="13"/>
  <c r="DG228" i="13"/>
  <c r="DG227" i="13"/>
  <c r="DG226" i="13"/>
  <c r="DG225" i="13"/>
  <c r="DG224" i="13"/>
  <c r="DG223" i="13"/>
  <c r="DG222" i="13"/>
  <c r="DG221" i="13"/>
  <c r="DG220" i="13"/>
  <c r="DG219" i="13"/>
  <c r="DG218" i="13"/>
  <c r="DG217" i="13"/>
  <c r="DG216" i="13"/>
  <c r="DG215" i="13"/>
  <c r="DG214" i="13"/>
  <c r="DG213" i="13"/>
  <c r="DG211" i="13"/>
  <c r="DG210" i="13"/>
  <c r="DG209" i="13"/>
  <c r="DG208" i="13"/>
  <c r="DG207" i="13"/>
  <c r="DG206" i="13"/>
  <c r="DG205" i="13"/>
  <c r="DG204" i="13"/>
  <c r="DG203" i="13"/>
  <c r="DG202" i="13"/>
  <c r="DG201" i="13"/>
  <c r="DG200" i="13"/>
  <c r="DG199" i="13"/>
  <c r="DG198" i="13"/>
  <c r="DG197" i="13"/>
  <c r="DG196" i="13"/>
  <c r="DG195" i="13"/>
  <c r="DG194" i="13"/>
  <c r="DG193" i="13"/>
  <c r="DG192" i="13"/>
  <c r="DG191" i="13"/>
  <c r="DG190" i="13"/>
  <c r="DG189" i="13"/>
  <c r="DG188" i="13"/>
  <c r="DG187" i="13"/>
  <c r="DG186" i="13"/>
  <c r="DG185" i="13"/>
  <c r="DG184" i="13"/>
  <c r="DG183" i="13"/>
  <c r="DG182" i="13"/>
  <c r="DG181" i="13"/>
  <c r="DG180" i="13"/>
  <c r="DG179" i="13"/>
  <c r="DG178" i="13"/>
  <c r="DG177" i="13"/>
  <c r="DG176" i="13"/>
  <c r="DG175" i="13"/>
  <c r="DG174" i="13"/>
  <c r="DG173" i="13"/>
  <c r="DG172" i="13"/>
  <c r="DG171" i="13"/>
  <c r="DG170" i="13"/>
  <c r="DG169" i="13"/>
  <c r="DG168" i="13"/>
  <c r="DG167" i="13"/>
  <c r="DG166" i="13"/>
  <c r="DG165" i="13"/>
  <c r="DG164" i="13"/>
  <c r="DG163" i="13"/>
  <c r="DG162" i="13"/>
  <c r="DG161" i="13"/>
  <c r="DG160" i="13"/>
  <c r="DG159" i="13"/>
  <c r="DG158" i="13"/>
  <c r="DG157" i="13"/>
  <c r="DG156" i="13"/>
  <c r="DG155" i="13"/>
  <c r="DG154" i="13"/>
  <c r="DG153" i="13"/>
  <c r="DG152" i="13"/>
  <c r="DG151" i="13"/>
  <c r="DG150" i="13"/>
  <c r="DG149" i="13"/>
  <c r="DG148" i="13"/>
  <c r="DG147" i="13"/>
  <c r="DG146" i="13"/>
  <c r="DG145" i="13"/>
  <c r="DG144" i="13"/>
  <c r="DG143" i="13"/>
  <c r="DG142" i="13"/>
  <c r="DG141" i="13"/>
  <c r="DG140" i="13"/>
  <c r="DG139" i="13"/>
  <c r="DG138" i="13"/>
  <c r="DG137" i="13"/>
  <c r="DG136" i="13"/>
  <c r="DG135" i="13"/>
  <c r="DG134" i="13"/>
  <c r="DG133" i="13"/>
  <c r="DG132" i="13"/>
  <c r="DG131" i="13"/>
  <c r="DG130" i="13"/>
  <c r="DG129" i="13"/>
  <c r="DG128" i="13"/>
  <c r="DG127" i="13"/>
  <c r="DG126" i="13"/>
  <c r="DG125" i="13"/>
  <c r="DG124" i="13"/>
  <c r="DG123" i="13"/>
  <c r="DG122" i="13"/>
  <c r="DG121" i="13"/>
  <c r="DG120" i="13"/>
  <c r="DG119" i="13"/>
  <c r="DG118" i="13"/>
  <c r="DG117" i="13"/>
  <c r="DG116" i="13"/>
  <c r="DG115" i="13"/>
  <c r="DG114" i="13"/>
  <c r="DG113" i="13"/>
  <c r="DG112" i="13"/>
  <c r="DG111" i="13"/>
  <c r="DG110" i="13"/>
  <c r="DG109" i="13"/>
  <c r="DG108" i="13"/>
  <c r="DG107" i="13"/>
  <c r="DG106" i="13"/>
  <c r="DG105" i="13"/>
  <c r="DG104" i="13"/>
  <c r="DG103" i="13"/>
  <c r="DG102" i="13"/>
  <c r="DB101" i="13"/>
  <c r="DB212" i="13" s="1"/>
  <c r="DG100" i="13"/>
  <c r="DG99" i="13"/>
  <c r="DG98" i="13"/>
  <c r="DG97" i="13"/>
  <c r="DG96" i="13"/>
  <c r="DG95" i="13"/>
  <c r="DG94" i="13"/>
  <c r="DG93" i="13"/>
  <c r="DG92" i="13"/>
  <c r="DG91" i="13"/>
  <c r="DG90" i="13"/>
  <c r="DG89" i="13"/>
  <c r="DG88" i="13"/>
  <c r="DG87" i="13"/>
  <c r="DG86" i="13"/>
  <c r="DG85" i="13"/>
  <c r="DG84" i="13"/>
  <c r="DG83" i="13"/>
  <c r="DG82" i="13"/>
  <c r="DG81" i="13"/>
  <c r="DG80" i="13"/>
  <c r="DG79" i="13"/>
  <c r="DG78" i="13"/>
  <c r="DG77" i="13"/>
  <c r="DG76" i="13"/>
  <c r="DG75" i="13"/>
  <c r="DG74" i="13"/>
  <c r="DG73" i="13"/>
  <c r="DG72" i="13"/>
  <c r="DG71" i="13"/>
  <c r="DG70" i="13"/>
  <c r="DG69" i="13"/>
  <c r="DG68" i="13"/>
  <c r="DG67" i="13"/>
  <c r="DG66" i="13"/>
  <c r="DG65" i="13"/>
  <c r="DG64" i="13"/>
  <c r="DG63" i="13"/>
  <c r="DG62" i="13"/>
  <c r="DG61" i="13"/>
  <c r="DG60" i="13"/>
  <c r="DG59" i="13"/>
  <c r="DG58" i="13"/>
  <c r="DG57" i="13"/>
  <c r="DG56" i="13"/>
  <c r="DG55" i="13"/>
  <c r="DG54" i="13"/>
  <c r="DG53" i="13"/>
  <c r="DG52" i="13"/>
  <c r="DG51" i="13"/>
  <c r="DG50" i="13"/>
  <c r="DG49" i="13"/>
  <c r="DG48" i="13"/>
  <c r="DG47" i="13"/>
  <c r="DG46" i="13"/>
  <c r="DG45" i="13"/>
  <c r="DG44" i="13"/>
  <c r="DG43" i="13"/>
  <c r="DG42" i="13"/>
  <c r="DG41" i="13"/>
  <c r="DG40" i="13"/>
  <c r="DG39" i="13"/>
  <c r="DG38" i="13"/>
  <c r="DG37" i="13"/>
  <c r="DG36" i="13"/>
  <c r="DG35" i="13"/>
  <c r="DG34" i="13"/>
  <c r="DG33" i="13"/>
  <c r="DG32" i="13"/>
  <c r="DG31" i="13"/>
  <c r="DG30" i="13"/>
  <c r="DG29" i="13"/>
  <c r="DG28" i="13"/>
  <c r="DG27" i="13"/>
  <c r="DG26" i="13"/>
  <c r="DG25" i="13"/>
  <c r="DG24" i="13"/>
  <c r="DG23" i="13"/>
  <c r="DG22" i="13"/>
  <c r="DG21" i="13"/>
  <c r="DG20" i="13"/>
  <c r="DG19" i="13"/>
  <c r="DG18" i="13"/>
  <c r="DG17" i="13"/>
  <c r="DG16" i="13"/>
  <c r="DG15" i="13"/>
  <c r="DG14" i="13"/>
  <c r="DG13" i="13"/>
  <c r="DG12" i="13"/>
  <c r="DG10" i="13"/>
  <c r="DG8" i="13"/>
  <c r="DG7" i="13"/>
  <c r="DG6" i="13"/>
  <c r="DG5" i="13"/>
  <c r="DG4" i="13"/>
  <c r="DG3" i="13"/>
  <c r="AX108" i="13"/>
  <c r="AX107" i="13"/>
  <c r="AY28" i="13"/>
  <c r="BE5" i="13"/>
  <c r="AX26" i="13"/>
  <c r="BC26" i="13" s="1"/>
  <c r="AX25" i="13"/>
  <c r="BC25" i="13" s="1"/>
  <c r="AX21" i="13"/>
  <c r="BC21" i="13" s="1"/>
  <c r="AX16" i="13"/>
  <c r="AX13" i="13"/>
  <c r="BC13" i="13" s="1"/>
  <c r="AX12" i="13"/>
  <c r="BC12" i="13" s="1"/>
  <c r="AX3" i="13"/>
  <c r="BC3" i="13" s="1"/>
  <c r="AJ228" i="13"/>
  <c r="AO228" i="13" s="1"/>
  <c r="AA180" i="13"/>
  <c r="AH180" i="13"/>
  <c r="AO180" i="13"/>
  <c r="AV180" i="13"/>
  <c r="BC180" i="13"/>
  <c r="BJ180" i="13"/>
  <c r="BQ180" i="13"/>
  <c r="BX180" i="13"/>
  <c r="CE180" i="13"/>
  <c r="CL180" i="13"/>
  <c r="CS180" i="13"/>
  <c r="CZ180" i="13"/>
  <c r="AA181" i="13"/>
  <c r="AH181" i="13"/>
  <c r="AO181" i="13"/>
  <c r="AV181" i="13"/>
  <c r="BC181" i="13"/>
  <c r="BJ181" i="13"/>
  <c r="BQ181" i="13"/>
  <c r="BX181" i="13"/>
  <c r="CE181" i="13"/>
  <c r="CL181" i="13"/>
  <c r="CS181" i="13"/>
  <c r="CZ181" i="13"/>
  <c r="AA182" i="13"/>
  <c r="AH182" i="13"/>
  <c r="AO182" i="13"/>
  <c r="AV182" i="13"/>
  <c r="BC182" i="13"/>
  <c r="BJ182" i="13"/>
  <c r="BQ182" i="13"/>
  <c r="BX182" i="13"/>
  <c r="CE182" i="13"/>
  <c r="CL182" i="13"/>
  <c r="CS182" i="13"/>
  <c r="CZ182" i="13"/>
  <c r="AA183" i="13"/>
  <c r="AH183" i="13"/>
  <c r="AO183" i="13"/>
  <c r="AV183" i="13"/>
  <c r="BC183" i="13"/>
  <c r="BJ183" i="13"/>
  <c r="BQ183" i="13"/>
  <c r="BX183" i="13"/>
  <c r="CE183" i="13"/>
  <c r="CL183" i="13"/>
  <c r="CS183" i="13"/>
  <c r="CZ183" i="13"/>
  <c r="AA184" i="13"/>
  <c r="AH184" i="13"/>
  <c r="AO184" i="13"/>
  <c r="AV184" i="13"/>
  <c r="BC184" i="13"/>
  <c r="BJ184" i="13"/>
  <c r="BQ184" i="13"/>
  <c r="BX184" i="13"/>
  <c r="CE184" i="13"/>
  <c r="CL184" i="13"/>
  <c r="CS184" i="13"/>
  <c r="CZ184" i="13"/>
  <c r="AA185" i="13"/>
  <c r="AH185" i="13"/>
  <c r="AO185" i="13"/>
  <c r="AV185" i="13"/>
  <c r="BC185" i="13"/>
  <c r="BJ185" i="13"/>
  <c r="BQ185" i="13"/>
  <c r="BX185" i="13"/>
  <c r="CE185" i="13"/>
  <c r="CL185" i="13"/>
  <c r="CS185" i="13"/>
  <c r="CZ185" i="13"/>
  <c r="AH186" i="13"/>
  <c r="AO186" i="13"/>
  <c r="AV186" i="13"/>
  <c r="BC186" i="13"/>
  <c r="BJ186" i="13"/>
  <c r="BQ186" i="13"/>
  <c r="BX186" i="13"/>
  <c r="CE186" i="13"/>
  <c r="CL186" i="13"/>
  <c r="CS186" i="13"/>
  <c r="CZ186" i="13"/>
  <c r="AH187" i="13"/>
  <c r="AO187" i="13"/>
  <c r="AV187" i="13"/>
  <c r="BC187" i="13"/>
  <c r="BJ187" i="13"/>
  <c r="BQ187" i="13"/>
  <c r="BX187" i="13"/>
  <c r="CE187" i="13"/>
  <c r="CL187" i="13"/>
  <c r="CS187" i="13"/>
  <c r="CZ187" i="13"/>
  <c r="AA188" i="13"/>
  <c r="AH188" i="13"/>
  <c r="AO188" i="13"/>
  <c r="AV188" i="13"/>
  <c r="BC188" i="13"/>
  <c r="BJ188" i="13"/>
  <c r="BQ188" i="13"/>
  <c r="BX188" i="13"/>
  <c r="CE188" i="13"/>
  <c r="CL188" i="13"/>
  <c r="CS188" i="13"/>
  <c r="CZ188" i="13"/>
  <c r="AA189" i="13"/>
  <c r="AH189" i="13"/>
  <c r="AO189" i="13"/>
  <c r="AV189" i="13"/>
  <c r="BC189" i="13"/>
  <c r="BJ189" i="13"/>
  <c r="BQ189" i="13"/>
  <c r="BX189" i="13"/>
  <c r="CE189" i="13"/>
  <c r="CL189" i="13"/>
  <c r="CS189" i="13"/>
  <c r="CZ189" i="13"/>
  <c r="AA190" i="13"/>
  <c r="AH190" i="13"/>
  <c r="AO190" i="13"/>
  <c r="AV190" i="13"/>
  <c r="BC190" i="13"/>
  <c r="BJ190" i="13"/>
  <c r="BQ190" i="13"/>
  <c r="BX190" i="13"/>
  <c r="CE190" i="13"/>
  <c r="CL190" i="13"/>
  <c r="CS190" i="13"/>
  <c r="CZ190" i="13"/>
  <c r="AA191" i="13"/>
  <c r="AH191" i="13"/>
  <c r="AO191" i="13"/>
  <c r="AV191" i="13"/>
  <c r="BC191" i="13"/>
  <c r="BJ191" i="13"/>
  <c r="BQ191" i="13"/>
  <c r="BX191" i="13"/>
  <c r="CE191" i="13"/>
  <c r="CL191" i="13"/>
  <c r="CS191" i="13"/>
  <c r="CZ191" i="13"/>
  <c r="AA192" i="13"/>
  <c r="AH192" i="13"/>
  <c r="AO192" i="13"/>
  <c r="AV192" i="13"/>
  <c r="BC192" i="13"/>
  <c r="BJ192" i="13"/>
  <c r="BQ192" i="13"/>
  <c r="BX192" i="13"/>
  <c r="CE192" i="13"/>
  <c r="CL192" i="13"/>
  <c r="CS192" i="13"/>
  <c r="CZ192" i="13"/>
  <c r="AA193" i="13"/>
  <c r="AH193" i="13"/>
  <c r="AO193" i="13"/>
  <c r="AV193" i="13"/>
  <c r="BC193" i="13"/>
  <c r="BJ193" i="13"/>
  <c r="BQ193" i="13"/>
  <c r="BX193" i="13"/>
  <c r="CE193" i="13"/>
  <c r="CL193" i="13"/>
  <c r="CS193" i="13"/>
  <c r="CZ193" i="13"/>
  <c r="CZ178" i="13"/>
  <c r="CS178" i="13"/>
  <c r="CL178" i="13"/>
  <c r="CE178" i="13"/>
  <c r="BX178" i="13"/>
  <c r="BQ178" i="13"/>
  <c r="BJ178" i="13"/>
  <c r="BC178" i="13"/>
  <c r="AV178" i="13"/>
  <c r="AO178" i="13"/>
  <c r="AH178" i="13"/>
  <c r="CZ177" i="13"/>
  <c r="CS177" i="13"/>
  <c r="CL177" i="13"/>
  <c r="CE177" i="13"/>
  <c r="BX177" i="13"/>
  <c r="BQ177" i="13"/>
  <c r="BJ177" i="13"/>
  <c r="BC177" i="13"/>
  <c r="AV177" i="13"/>
  <c r="AO177" i="13"/>
  <c r="AH177" i="13"/>
  <c r="AA177" i="13"/>
  <c r="CZ176" i="13"/>
  <c r="CS176" i="13"/>
  <c r="CL176" i="13"/>
  <c r="CE176" i="13"/>
  <c r="BX176" i="13"/>
  <c r="BQ176" i="13"/>
  <c r="BJ176" i="13"/>
  <c r="BC176" i="13"/>
  <c r="AV176" i="13"/>
  <c r="AO176" i="13"/>
  <c r="AH176" i="13"/>
  <c r="AA176" i="13"/>
  <c r="CZ175" i="13"/>
  <c r="CS175" i="13"/>
  <c r="CL175" i="13"/>
  <c r="CE175" i="13"/>
  <c r="BX175" i="13"/>
  <c r="BQ175" i="13"/>
  <c r="BJ175" i="13"/>
  <c r="BC175" i="13"/>
  <c r="AV175" i="13"/>
  <c r="AO175" i="13"/>
  <c r="AH175" i="13"/>
  <c r="AA175" i="13"/>
  <c r="CZ174" i="13"/>
  <c r="CS174" i="13"/>
  <c r="CL174" i="13"/>
  <c r="CE174" i="13"/>
  <c r="BX174" i="13"/>
  <c r="BQ174" i="13"/>
  <c r="BJ174" i="13"/>
  <c r="BC174" i="13"/>
  <c r="AV174" i="13"/>
  <c r="AO174" i="13"/>
  <c r="AH174" i="13"/>
  <c r="AA174" i="13"/>
  <c r="CZ173" i="13"/>
  <c r="CS173" i="13"/>
  <c r="CL173" i="13"/>
  <c r="CE173" i="13"/>
  <c r="BX173" i="13"/>
  <c r="BQ173" i="13"/>
  <c r="BJ173" i="13"/>
  <c r="BC173" i="13"/>
  <c r="AV173" i="13"/>
  <c r="AO173" i="13"/>
  <c r="AH173" i="13"/>
  <c r="AA173" i="13"/>
  <c r="CZ172" i="13"/>
  <c r="CS172" i="13"/>
  <c r="CL172" i="13"/>
  <c r="CE172" i="13"/>
  <c r="BX172" i="13"/>
  <c r="BQ172" i="13"/>
  <c r="BJ172" i="13"/>
  <c r="BC172" i="13"/>
  <c r="AV172" i="13"/>
  <c r="AO172" i="13"/>
  <c r="AH172" i="13"/>
  <c r="AA172" i="13"/>
  <c r="CZ171" i="13"/>
  <c r="CS171" i="13"/>
  <c r="CL171" i="13"/>
  <c r="CE171" i="13"/>
  <c r="BX171" i="13"/>
  <c r="BQ171" i="13"/>
  <c r="BJ171" i="13"/>
  <c r="BC171" i="13"/>
  <c r="AV171" i="13"/>
  <c r="AO171" i="13"/>
  <c r="AH171" i="13"/>
  <c r="AA171" i="13"/>
  <c r="CZ179" i="13"/>
  <c r="CS179" i="13"/>
  <c r="CL179" i="13"/>
  <c r="CE179" i="13"/>
  <c r="BX179" i="13"/>
  <c r="BQ179" i="13"/>
  <c r="BJ179" i="13"/>
  <c r="BC179" i="13"/>
  <c r="AV179" i="13"/>
  <c r="AO179" i="13"/>
  <c r="AH179" i="13"/>
  <c r="CZ194" i="13"/>
  <c r="CS194" i="13"/>
  <c r="CL194" i="13"/>
  <c r="CE194" i="13"/>
  <c r="BX194" i="13"/>
  <c r="BQ194" i="13"/>
  <c r="BJ194" i="13"/>
  <c r="BC194" i="13"/>
  <c r="AV194" i="13"/>
  <c r="AO194" i="13"/>
  <c r="AH194" i="13"/>
  <c r="AA194" i="13"/>
  <c r="CZ202" i="13"/>
  <c r="CS202" i="13"/>
  <c r="CL202" i="13"/>
  <c r="CE202" i="13"/>
  <c r="BX202" i="13"/>
  <c r="BQ202" i="13"/>
  <c r="BJ202" i="13"/>
  <c r="BC202" i="13"/>
  <c r="AV202" i="13"/>
  <c r="AO202" i="13"/>
  <c r="AH202" i="13"/>
  <c r="AA202" i="13"/>
  <c r="CZ201" i="13"/>
  <c r="CS201" i="13"/>
  <c r="CL201" i="13"/>
  <c r="CE201" i="13"/>
  <c r="BX201" i="13"/>
  <c r="BQ201" i="13"/>
  <c r="BJ201" i="13"/>
  <c r="BC201" i="13"/>
  <c r="AV201" i="13"/>
  <c r="AO201" i="13"/>
  <c r="AH201" i="13"/>
  <c r="AA201" i="13"/>
  <c r="CZ200" i="13"/>
  <c r="CS200" i="13"/>
  <c r="CL200" i="13"/>
  <c r="CE200" i="13"/>
  <c r="BX200" i="13"/>
  <c r="BQ200" i="13"/>
  <c r="BJ200" i="13"/>
  <c r="BC200" i="13"/>
  <c r="AV200" i="13"/>
  <c r="AO200" i="13"/>
  <c r="AH200" i="13"/>
  <c r="AA200" i="13"/>
  <c r="CZ199" i="13"/>
  <c r="CS199" i="13"/>
  <c r="CL199" i="13"/>
  <c r="CE199" i="13"/>
  <c r="BX199" i="13"/>
  <c r="BQ199" i="13"/>
  <c r="BJ199" i="13"/>
  <c r="BC199" i="13"/>
  <c r="AV199" i="13"/>
  <c r="AO199" i="13"/>
  <c r="AH199" i="13"/>
  <c r="AA199" i="13"/>
  <c r="CZ198" i="13"/>
  <c r="CS198" i="13"/>
  <c r="CL198" i="13"/>
  <c r="CE198" i="13"/>
  <c r="BX198" i="13"/>
  <c r="BQ198" i="13"/>
  <c r="BJ198" i="13"/>
  <c r="BC198" i="13"/>
  <c r="AV198" i="13"/>
  <c r="AO198" i="13"/>
  <c r="AH198" i="13"/>
  <c r="AA198" i="13"/>
  <c r="CZ197" i="13"/>
  <c r="CS197" i="13"/>
  <c r="CL197" i="13"/>
  <c r="CE197" i="13"/>
  <c r="BX197" i="13"/>
  <c r="BQ197" i="13"/>
  <c r="BJ197" i="13"/>
  <c r="BC197" i="13"/>
  <c r="AV197" i="13"/>
  <c r="AO197" i="13"/>
  <c r="AH197" i="13"/>
  <c r="AA197" i="13"/>
  <c r="CZ196" i="13"/>
  <c r="CS196" i="13"/>
  <c r="CL196" i="13"/>
  <c r="CE196" i="13"/>
  <c r="BX196" i="13"/>
  <c r="BQ196" i="13"/>
  <c r="BJ196" i="13"/>
  <c r="BC196" i="13"/>
  <c r="AV196" i="13"/>
  <c r="AO196" i="13"/>
  <c r="AH196" i="13"/>
  <c r="AA196" i="13"/>
  <c r="CZ195" i="13"/>
  <c r="CS195" i="13"/>
  <c r="CL195" i="13"/>
  <c r="CE195" i="13"/>
  <c r="BX195" i="13"/>
  <c r="BQ195" i="13"/>
  <c r="BJ195" i="13"/>
  <c r="BC195" i="13"/>
  <c r="AV195" i="13"/>
  <c r="AO195" i="13"/>
  <c r="AH195" i="13"/>
  <c r="AA195" i="13"/>
  <c r="CZ150" i="13"/>
  <c r="CS150" i="13"/>
  <c r="CL150" i="13"/>
  <c r="CE150" i="13"/>
  <c r="BX150" i="13"/>
  <c r="BQ150" i="13"/>
  <c r="BJ150" i="13"/>
  <c r="BC150" i="13"/>
  <c r="AV150" i="13"/>
  <c r="AO150" i="13"/>
  <c r="AH150" i="13"/>
  <c r="AA150" i="13"/>
  <c r="CZ149" i="13"/>
  <c r="CS149" i="13"/>
  <c r="CL149" i="13"/>
  <c r="CE149" i="13"/>
  <c r="BX149" i="13"/>
  <c r="BQ149" i="13"/>
  <c r="BJ149" i="13"/>
  <c r="BC149" i="13"/>
  <c r="AV149" i="13"/>
  <c r="AO149" i="13"/>
  <c r="AH149" i="13"/>
  <c r="AA149" i="13"/>
  <c r="CZ148" i="13"/>
  <c r="CS148" i="13"/>
  <c r="CL148" i="13"/>
  <c r="CE148" i="13"/>
  <c r="BX148" i="13"/>
  <c r="BQ148" i="13"/>
  <c r="BJ148" i="13"/>
  <c r="BC148" i="13"/>
  <c r="AV148" i="13"/>
  <c r="AO148" i="13"/>
  <c r="AH148" i="13"/>
  <c r="AA148" i="13"/>
  <c r="CZ147" i="13"/>
  <c r="CS147" i="13"/>
  <c r="CL147" i="13"/>
  <c r="CE147" i="13"/>
  <c r="BX147" i="13"/>
  <c r="BQ147" i="13"/>
  <c r="BJ147" i="13"/>
  <c r="BC147" i="13"/>
  <c r="AV147" i="13"/>
  <c r="AO147" i="13"/>
  <c r="AH147" i="13"/>
  <c r="AA147" i="13"/>
  <c r="CZ146" i="13"/>
  <c r="CS146" i="13"/>
  <c r="CL146" i="13"/>
  <c r="CE146" i="13"/>
  <c r="BX146" i="13"/>
  <c r="BQ146" i="13"/>
  <c r="BJ146" i="13"/>
  <c r="BC146" i="13"/>
  <c r="AV146" i="13"/>
  <c r="AO146" i="13"/>
  <c r="AH146" i="13"/>
  <c r="AA146" i="13"/>
  <c r="CZ145" i="13"/>
  <c r="CS145" i="13"/>
  <c r="CL145" i="13"/>
  <c r="CE145" i="13"/>
  <c r="BX145" i="13"/>
  <c r="BQ145" i="13"/>
  <c r="BJ145" i="13"/>
  <c r="BC145" i="13"/>
  <c r="AV145" i="13"/>
  <c r="AO145" i="13"/>
  <c r="AH145" i="13"/>
  <c r="AA145" i="13"/>
  <c r="CZ144" i="13"/>
  <c r="CS144" i="13"/>
  <c r="CL144" i="13"/>
  <c r="CE144" i="13"/>
  <c r="BX144" i="13"/>
  <c r="BQ144" i="13"/>
  <c r="BJ144" i="13"/>
  <c r="BC144" i="13"/>
  <c r="AV144" i="13"/>
  <c r="AO144" i="13"/>
  <c r="AH144" i="13"/>
  <c r="AA144" i="13"/>
  <c r="CZ157" i="13"/>
  <c r="CS157" i="13"/>
  <c r="CL157" i="13"/>
  <c r="CE157" i="13"/>
  <c r="BX157" i="13"/>
  <c r="BQ157" i="13"/>
  <c r="BJ157" i="13"/>
  <c r="BC157" i="13"/>
  <c r="AV157" i="13"/>
  <c r="AO157" i="13"/>
  <c r="AH157" i="13"/>
  <c r="AA157" i="13"/>
  <c r="CZ156" i="13"/>
  <c r="CS156" i="13"/>
  <c r="CL156" i="13"/>
  <c r="CE156" i="13"/>
  <c r="BX156" i="13"/>
  <c r="BQ156" i="13"/>
  <c r="BJ156" i="13"/>
  <c r="BC156" i="13"/>
  <c r="AV156" i="13"/>
  <c r="AO156" i="13"/>
  <c r="AH156" i="13"/>
  <c r="AA156" i="13"/>
  <c r="CZ155" i="13"/>
  <c r="CS155" i="13"/>
  <c r="CL155" i="13"/>
  <c r="CE155" i="13"/>
  <c r="BX155" i="13"/>
  <c r="BQ155" i="13"/>
  <c r="BJ155" i="13"/>
  <c r="BC155" i="13"/>
  <c r="AV155" i="13"/>
  <c r="AO155" i="13"/>
  <c r="AH155" i="13"/>
  <c r="AA155" i="13"/>
  <c r="CZ154" i="13"/>
  <c r="CS154" i="13"/>
  <c r="CL154" i="13"/>
  <c r="CE154" i="13"/>
  <c r="BX154" i="13"/>
  <c r="BQ154" i="13"/>
  <c r="BJ154" i="13"/>
  <c r="BC154" i="13"/>
  <c r="AV154" i="13"/>
  <c r="AO154" i="13"/>
  <c r="AH154" i="13"/>
  <c r="CZ153" i="13"/>
  <c r="CS153" i="13"/>
  <c r="CL153" i="13"/>
  <c r="CE153" i="13"/>
  <c r="BX153" i="13"/>
  <c r="BQ153" i="13"/>
  <c r="BJ153" i="13"/>
  <c r="BC153" i="13"/>
  <c r="AV153" i="13"/>
  <c r="AO153" i="13"/>
  <c r="AH153" i="13"/>
  <c r="AA153" i="13"/>
  <c r="CZ152" i="13"/>
  <c r="CS152" i="13"/>
  <c r="CL152" i="13"/>
  <c r="CE152" i="13"/>
  <c r="BX152" i="13"/>
  <c r="BQ152" i="13"/>
  <c r="BJ152" i="13"/>
  <c r="BC152" i="13"/>
  <c r="AV152" i="13"/>
  <c r="AO152" i="13"/>
  <c r="AH152" i="13"/>
  <c r="AA152" i="13"/>
  <c r="CZ151" i="13"/>
  <c r="CS151" i="13"/>
  <c r="CL151" i="13"/>
  <c r="CE151" i="13"/>
  <c r="BX151" i="13"/>
  <c r="BQ151" i="13"/>
  <c r="BJ151" i="13"/>
  <c r="BC151" i="13"/>
  <c r="AV151" i="13"/>
  <c r="AO151" i="13"/>
  <c r="AH151" i="13"/>
  <c r="AA151" i="13"/>
  <c r="CZ164" i="13"/>
  <c r="CS164" i="13"/>
  <c r="CL164" i="13"/>
  <c r="CE164" i="13"/>
  <c r="BX164" i="13"/>
  <c r="BQ164" i="13"/>
  <c r="BJ164" i="13"/>
  <c r="BC164" i="13"/>
  <c r="AV164" i="13"/>
  <c r="AO164" i="13"/>
  <c r="AH164" i="13"/>
  <c r="CZ163" i="13"/>
  <c r="CS163" i="13"/>
  <c r="CL163" i="13"/>
  <c r="CE163" i="13"/>
  <c r="BX163" i="13"/>
  <c r="BQ163" i="13"/>
  <c r="BJ163" i="13"/>
  <c r="BC163" i="13"/>
  <c r="AV163" i="13"/>
  <c r="AO163" i="13"/>
  <c r="AH163" i="13"/>
  <c r="CZ162" i="13"/>
  <c r="CS162" i="13"/>
  <c r="CL162" i="13"/>
  <c r="CE162" i="13"/>
  <c r="BX162" i="13"/>
  <c r="BQ162" i="13"/>
  <c r="BJ162" i="13"/>
  <c r="BC162" i="13"/>
  <c r="AV162" i="13"/>
  <c r="AO162" i="13"/>
  <c r="AH162" i="13"/>
  <c r="AA162" i="13"/>
  <c r="CZ161" i="13"/>
  <c r="CS161" i="13"/>
  <c r="CL161" i="13"/>
  <c r="CE161" i="13"/>
  <c r="BX161" i="13"/>
  <c r="BQ161" i="13"/>
  <c r="BJ161" i="13"/>
  <c r="BC161" i="13"/>
  <c r="AV161" i="13"/>
  <c r="AO161" i="13"/>
  <c r="AH161" i="13"/>
  <c r="AA161" i="13"/>
  <c r="CZ160" i="13"/>
  <c r="CS160" i="13"/>
  <c r="CL160" i="13"/>
  <c r="CE160" i="13"/>
  <c r="BX160" i="13"/>
  <c r="BQ160" i="13"/>
  <c r="BJ160" i="13"/>
  <c r="BC160" i="13"/>
  <c r="AV160" i="13"/>
  <c r="AO160" i="13"/>
  <c r="AH160" i="13"/>
  <c r="AA160" i="13"/>
  <c r="CZ159" i="13"/>
  <c r="CS159" i="13"/>
  <c r="CL159" i="13"/>
  <c r="CE159" i="13"/>
  <c r="BX159" i="13"/>
  <c r="BQ159" i="13"/>
  <c r="BJ159" i="13"/>
  <c r="BC159" i="13"/>
  <c r="AV159" i="13"/>
  <c r="AO159" i="13"/>
  <c r="AH159" i="13"/>
  <c r="AA159" i="13"/>
  <c r="CZ158" i="13"/>
  <c r="CS158" i="13"/>
  <c r="CL158" i="13"/>
  <c r="CE158" i="13"/>
  <c r="BX158" i="13"/>
  <c r="BQ158" i="13"/>
  <c r="BJ158" i="13"/>
  <c r="BC158" i="13"/>
  <c r="AV158" i="13"/>
  <c r="AO158" i="13"/>
  <c r="AH158" i="13"/>
  <c r="CZ203" i="13"/>
  <c r="CS203" i="13"/>
  <c r="CL203" i="13"/>
  <c r="CE203" i="13"/>
  <c r="BX203" i="13"/>
  <c r="BQ203" i="13"/>
  <c r="BJ203" i="13"/>
  <c r="BC203" i="13"/>
  <c r="AV203" i="13"/>
  <c r="AO203" i="13"/>
  <c r="AH203" i="13"/>
  <c r="AA203" i="13"/>
  <c r="CZ170" i="13"/>
  <c r="CS170" i="13"/>
  <c r="CL170" i="13"/>
  <c r="CE170" i="13"/>
  <c r="BX170" i="13"/>
  <c r="BQ170" i="13"/>
  <c r="BJ170" i="13"/>
  <c r="BC170" i="13"/>
  <c r="AV170" i="13"/>
  <c r="AO170" i="13"/>
  <c r="AH170" i="13"/>
  <c r="AA170" i="13"/>
  <c r="CZ169" i="13"/>
  <c r="CS169" i="13"/>
  <c r="CL169" i="13"/>
  <c r="CE169" i="13"/>
  <c r="BX169" i="13"/>
  <c r="BQ169" i="13"/>
  <c r="BJ169" i="13"/>
  <c r="BC169" i="13"/>
  <c r="AV169" i="13"/>
  <c r="AO169" i="13"/>
  <c r="AH169" i="13"/>
  <c r="AA169" i="13"/>
  <c r="CZ168" i="13"/>
  <c r="CS168" i="13"/>
  <c r="CL168" i="13"/>
  <c r="CE168" i="13"/>
  <c r="BX168" i="13"/>
  <c r="BQ168" i="13"/>
  <c r="BJ168" i="13"/>
  <c r="BC168" i="13"/>
  <c r="AV168" i="13"/>
  <c r="AO168" i="13"/>
  <c r="AH168" i="13"/>
  <c r="AA168" i="13"/>
  <c r="CZ167" i="13"/>
  <c r="CS167" i="13"/>
  <c r="CL167" i="13"/>
  <c r="CE167" i="13"/>
  <c r="BX167" i="13"/>
  <c r="BQ167" i="13"/>
  <c r="BJ167" i="13"/>
  <c r="BC167" i="13"/>
  <c r="AV167" i="13"/>
  <c r="AO167" i="13"/>
  <c r="AH167" i="13"/>
  <c r="CZ166" i="13"/>
  <c r="CS166" i="13"/>
  <c r="CL166" i="13"/>
  <c r="CE166" i="13"/>
  <c r="BX166" i="13"/>
  <c r="BQ166" i="13"/>
  <c r="BJ166" i="13"/>
  <c r="BC166" i="13"/>
  <c r="AV166" i="13"/>
  <c r="AO166" i="13"/>
  <c r="AH166" i="13"/>
  <c r="CZ165" i="13"/>
  <c r="CS165" i="13"/>
  <c r="CL165" i="13"/>
  <c r="CE165" i="13"/>
  <c r="BX165" i="13"/>
  <c r="BQ165" i="13"/>
  <c r="BJ165" i="13"/>
  <c r="BC165" i="13"/>
  <c r="AV165" i="13"/>
  <c r="AO165" i="13"/>
  <c r="AH165" i="13"/>
  <c r="CZ51" i="13"/>
  <c r="CS51" i="13"/>
  <c r="CL51" i="13"/>
  <c r="CE51" i="13"/>
  <c r="BX51" i="13"/>
  <c r="BQ51" i="13"/>
  <c r="BJ51" i="13"/>
  <c r="BC51" i="13"/>
  <c r="AV51" i="13"/>
  <c r="AO51" i="13"/>
  <c r="AH51" i="13"/>
  <c r="AA51" i="13"/>
  <c r="CZ50" i="13"/>
  <c r="CS50" i="13"/>
  <c r="CL50" i="13"/>
  <c r="CE50" i="13"/>
  <c r="BX50" i="13"/>
  <c r="BQ50" i="13"/>
  <c r="BJ50" i="13"/>
  <c r="BC50" i="13"/>
  <c r="AV50" i="13"/>
  <c r="AO50" i="13"/>
  <c r="AH50" i="13"/>
  <c r="AA50" i="13"/>
  <c r="CZ49" i="13"/>
  <c r="CS49" i="13"/>
  <c r="CL49" i="13"/>
  <c r="CE49" i="13"/>
  <c r="BX49" i="13"/>
  <c r="BQ49" i="13"/>
  <c r="BJ49" i="13"/>
  <c r="BC49" i="13"/>
  <c r="AV49" i="13"/>
  <c r="AO49" i="13"/>
  <c r="AH49" i="13"/>
  <c r="CZ48" i="13"/>
  <c r="CS48" i="13"/>
  <c r="CL48" i="13"/>
  <c r="CE48" i="13"/>
  <c r="BX48" i="13"/>
  <c r="BQ48" i="13"/>
  <c r="BJ48" i="13"/>
  <c r="BC48" i="13"/>
  <c r="AV48" i="13"/>
  <c r="AO48" i="13"/>
  <c r="AH48" i="13"/>
  <c r="AA48" i="13"/>
  <c r="CZ47" i="13"/>
  <c r="CS47" i="13"/>
  <c r="CL47" i="13"/>
  <c r="CE47" i="13"/>
  <c r="BX47" i="13"/>
  <c r="BQ47" i="13"/>
  <c r="BJ47" i="13"/>
  <c r="BC47" i="13"/>
  <c r="AV47" i="13"/>
  <c r="AO47" i="13"/>
  <c r="AH47" i="13"/>
  <c r="AA47" i="13"/>
  <c r="CZ46" i="13"/>
  <c r="CS46" i="13"/>
  <c r="CL46" i="13"/>
  <c r="CE46" i="13"/>
  <c r="BX46" i="13"/>
  <c r="BQ46" i="13"/>
  <c r="BJ46" i="13"/>
  <c r="BC46" i="13"/>
  <c r="AV46" i="13"/>
  <c r="AO46" i="13"/>
  <c r="AH46" i="13"/>
  <c r="AA46" i="13"/>
  <c r="CZ45" i="13"/>
  <c r="CS45" i="13"/>
  <c r="CL45" i="13"/>
  <c r="CE45" i="13"/>
  <c r="BX45" i="13"/>
  <c r="BQ45" i="13"/>
  <c r="BJ45" i="13"/>
  <c r="BC45" i="13"/>
  <c r="AV45" i="13"/>
  <c r="AO45" i="13"/>
  <c r="AH45" i="13"/>
  <c r="AA45" i="13"/>
  <c r="CZ44" i="13"/>
  <c r="CS44" i="13"/>
  <c r="CL44" i="13"/>
  <c r="CE44" i="13"/>
  <c r="BX44" i="13"/>
  <c r="BQ44" i="13"/>
  <c r="BJ44" i="13"/>
  <c r="BC44" i="13"/>
  <c r="AV44" i="13"/>
  <c r="AO44" i="13"/>
  <c r="AH44" i="13"/>
  <c r="AA44" i="13"/>
  <c r="CZ43" i="13"/>
  <c r="CS43" i="13"/>
  <c r="CL43" i="13"/>
  <c r="CE43" i="13"/>
  <c r="BX43" i="13"/>
  <c r="BQ43" i="13"/>
  <c r="BJ43" i="13"/>
  <c r="BC43" i="13"/>
  <c r="AV43" i="13"/>
  <c r="AO43" i="13"/>
  <c r="AH43" i="13"/>
  <c r="AA43" i="13"/>
  <c r="CZ42" i="13"/>
  <c r="CS42" i="13"/>
  <c r="CL42" i="13"/>
  <c r="CE42" i="13"/>
  <c r="BX42" i="13"/>
  <c r="BQ42" i="13"/>
  <c r="BJ42" i="13"/>
  <c r="BC42" i="13"/>
  <c r="AV42" i="13"/>
  <c r="AO42" i="13"/>
  <c r="AH42" i="13"/>
  <c r="AA42" i="13"/>
  <c r="CZ41" i="13"/>
  <c r="CS41" i="13"/>
  <c r="CL41" i="13"/>
  <c r="CE41" i="13"/>
  <c r="BX41" i="13"/>
  <c r="BQ41" i="13"/>
  <c r="BJ41" i="13"/>
  <c r="BC41" i="13"/>
  <c r="AV41" i="13"/>
  <c r="AO41" i="13"/>
  <c r="AH41" i="13"/>
  <c r="AA41" i="13"/>
  <c r="CZ40" i="13"/>
  <c r="CS40" i="13"/>
  <c r="CL40" i="13"/>
  <c r="CE40" i="13"/>
  <c r="BX40" i="13"/>
  <c r="BQ40" i="13"/>
  <c r="BJ40" i="13"/>
  <c r="BC40" i="13"/>
  <c r="AV40" i="13"/>
  <c r="AO40" i="13"/>
  <c r="AH40" i="13"/>
  <c r="AA40" i="13"/>
  <c r="CZ63" i="13"/>
  <c r="CS63" i="13"/>
  <c r="CL63" i="13"/>
  <c r="CE63" i="13"/>
  <c r="BX63" i="13"/>
  <c r="BQ63" i="13"/>
  <c r="BJ63" i="13"/>
  <c r="BC63" i="13"/>
  <c r="AV63" i="13"/>
  <c r="AO63" i="13"/>
  <c r="AH63" i="13"/>
  <c r="AA63" i="13"/>
  <c r="CZ62" i="13"/>
  <c r="CS62" i="13"/>
  <c r="CL62" i="13"/>
  <c r="CE62" i="13"/>
  <c r="BX62" i="13"/>
  <c r="BQ62" i="13"/>
  <c r="BJ62" i="13"/>
  <c r="BC62" i="13"/>
  <c r="AV62" i="13"/>
  <c r="AO62" i="13"/>
  <c r="AH62" i="13"/>
  <c r="AA62" i="13"/>
  <c r="CZ61" i="13"/>
  <c r="CS61" i="13"/>
  <c r="CL61" i="13"/>
  <c r="CE61" i="13"/>
  <c r="BX61" i="13"/>
  <c r="BQ61" i="13"/>
  <c r="BJ61" i="13"/>
  <c r="BC61" i="13"/>
  <c r="AV61" i="13"/>
  <c r="AO61" i="13"/>
  <c r="AH61" i="13"/>
  <c r="AA61" i="13"/>
  <c r="CZ60" i="13"/>
  <c r="CS60" i="13"/>
  <c r="CL60" i="13"/>
  <c r="CE60" i="13"/>
  <c r="BX60" i="13"/>
  <c r="BQ60" i="13"/>
  <c r="BJ60" i="13"/>
  <c r="BC60" i="13"/>
  <c r="AV60" i="13"/>
  <c r="AO60" i="13"/>
  <c r="AH60" i="13"/>
  <c r="CZ59" i="13"/>
  <c r="CS59" i="13"/>
  <c r="CL59" i="13"/>
  <c r="CE59" i="13"/>
  <c r="BX59" i="13"/>
  <c r="BQ59" i="13"/>
  <c r="BJ59" i="13"/>
  <c r="BC59" i="13"/>
  <c r="AV59" i="13"/>
  <c r="AO59" i="13"/>
  <c r="AH59" i="13"/>
  <c r="AA59" i="13"/>
  <c r="CZ58" i="13"/>
  <c r="CS58" i="13"/>
  <c r="CL58" i="13"/>
  <c r="CE58" i="13"/>
  <c r="BX58" i="13"/>
  <c r="BQ58" i="13"/>
  <c r="BJ58" i="13"/>
  <c r="BC58" i="13"/>
  <c r="AV58" i="13"/>
  <c r="AO58" i="13"/>
  <c r="AH58" i="13"/>
  <c r="CZ57" i="13"/>
  <c r="CS57" i="13"/>
  <c r="CL57" i="13"/>
  <c r="CE57" i="13"/>
  <c r="BX57" i="13"/>
  <c r="BQ57" i="13"/>
  <c r="BJ57" i="13"/>
  <c r="BC57" i="13"/>
  <c r="AV57" i="13"/>
  <c r="AO57" i="13"/>
  <c r="AH57" i="13"/>
  <c r="CZ56" i="13"/>
  <c r="CS56" i="13"/>
  <c r="CL56" i="13"/>
  <c r="CE56" i="13"/>
  <c r="BX56" i="13"/>
  <c r="BQ56" i="13"/>
  <c r="BJ56" i="13"/>
  <c r="BC56" i="13"/>
  <c r="AV56" i="13"/>
  <c r="AO56" i="13"/>
  <c r="AH56" i="13"/>
  <c r="AA56" i="13"/>
  <c r="CZ55" i="13"/>
  <c r="CS55" i="13"/>
  <c r="CL55" i="13"/>
  <c r="CE55" i="13"/>
  <c r="BX55" i="13"/>
  <c r="BQ55" i="13"/>
  <c r="BJ55" i="13"/>
  <c r="BC55" i="13"/>
  <c r="AV55" i="13"/>
  <c r="AO55" i="13"/>
  <c r="AH55" i="13"/>
  <c r="CZ54" i="13"/>
  <c r="CS54" i="13"/>
  <c r="CL54" i="13"/>
  <c r="CE54" i="13"/>
  <c r="BX54" i="13"/>
  <c r="BQ54" i="13"/>
  <c r="BJ54" i="13"/>
  <c r="BC54" i="13"/>
  <c r="AV54" i="13"/>
  <c r="AO54" i="13"/>
  <c r="AH54" i="13"/>
  <c r="CZ53" i="13"/>
  <c r="CS53" i="13"/>
  <c r="CL53" i="13"/>
  <c r="CE53" i="13"/>
  <c r="BX53" i="13"/>
  <c r="BQ53" i="13"/>
  <c r="BJ53" i="13"/>
  <c r="BC53" i="13"/>
  <c r="AV53" i="13"/>
  <c r="AO53" i="13"/>
  <c r="AH53" i="13"/>
  <c r="CZ52" i="13"/>
  <c r="CS52" i="13"/>
  <c r="CL52" i="13"/>
  <c r="CE52" i="13"/>
  <c r="BX52" i="13"/>
  <c r="BQ52" i="13"/>
  <c r="BJ52" i="13"/>
  <c r="BC52" i="13"/>
  <c r="AV52" i="13"/>
  <c r="AO52" i="13"/>
  <c r="AH52" i="13"/>
  <c r="AA52" i="13"/>
  <c r="CZ75" i="13"/>
  <c r="CS75" i="13"/>
  <c r="CL75" i="13"/>
  <c r="CE75" i="13"/>
  <c r="BX75" i="13"/>
  <c r="BQ75" i="13"/>
  <c r="BJ75" i="13"/>
  <c r="BC75" i="13"/>
  <c r="AV75" i="13"/>
  <c r="AO75" i="13"/>
  <c r="AH75" i="13"/>
  <c r="AA75" i="13"/>
  <c r="CZ74" i="13"/>
  <c r="CS74" i="13"/>
  <c r="CL74" i="13"/>
  <c r="CE74" i="13"/>
  <c r="BX74" i="13"/>
  <c r="BQ74" i="13"/>
  <c r="BJ74" i="13"/>
  <c r="BC74" i="13"/>
  <c r="AV74" i="13"/>
  <c r="AO74" i="13"/>
  <c r="AH74" i="13"/>
  <c r="AA74" i="13"/>
  <c r="CZ73" i="13"/>
  <c r="CS73" i="13"/>
  <c r="CL73" i="13"/>
  <c r="CE73" i="13"/>
  <c r="BX73" i="13"/>
  <c r="BQ73" i="13"/>
  <c r="BJ73" i="13"/>
  <c r="BC73" i="13"/>
  <c r="AV73" i="13"/>
  <c r="AO73" i="13"/>
  <c r="AH73" i="13"/>
  <c r="AA73" i="13"/>
  <c r="CZ72" i="13"/>
  <c r="CS72" i="13"/>
  <c r="CL72" i="13"/>
  <c r="CE72" i="13"/>
  <c r="BX72" i="13"/>
  <c r="BQ72" i="13"/>
  <c r="BJ72" i="13"/>
  <c r="BC72" i="13"/>
  <c r="AV72" i="13"/>
  <c r="AO72" i="13"/>
  <c r="AH72" i="13"/>
  <c r="AA72" i="13"/>
  <c r="CZ71" i="13"/>
  <c r="CS71" i="13"/>
  <c r="CL71" i="13"/>
  <c r="CE71" i="13"/>
  <c r="BX71" i="13"/>
  <c r="BQ71" i="13"/>
  <c r="BJ71" i="13"/>
  <c r="BC71" i="13"/>
  <c r="AV71" i="13"/>
  <c r="AO71" i="13"/>
  <c r="AH71" i="13"/>
  <c r="AA71" i="13"/>
  <c r="CZ70" i="13"/>
  <c r="CS70" i="13"/>
  <c r="CL70" i="13"/>
  <c r="CE70" i="13"/>
  <c r="BX70" i="13"/>
  <c r="BQ70" i="13"/>
  <c r="BJ70" i="13"/>
  <c r="BC70" i="13"/>
  <c r="AV70" i="13"/>
  <c r="AO70" i="13"/>
  <c r="AH70" i="13"/>
  <c r="AA70" i="13"/>
  <c r="CZ69" i="13"/>
  <c r="CS69" i="13"/>
  <c r="CL69" i="13"/>
  <c r="CE69" i="13"/>
  <c r="BX69" i="13"/>
  <c r="BQ69" i="13"/>
  <c r="BJ69" i="13"/>
  <c r="BC69" i="13"/>
  <c r="AV69" i="13"/>
  <c r="AO69" i="13"/>
  <c r="AH69" i="13"/>
  <c r="AA69" i="13"/>
  <c r="CZ68" i="13"/>
  <c r="CS68" i="13"/>
  <c r="CL68" i="13"/>
  <c r="CE68" i="13"/>
  <c r="BX68" i="13"/>
  <c r="BQ68" i="13"/>
  <c r="BJ68" i="13"/>
  <c r="BC68" i="13"/>
  <c r="AV68" i="13"/>
  <c r="AO68" i="13"/>
  <c r="AH68" i="13"/>
  <c r="AA68" i="13"/>
  <c r="CZ67" i="13"/>
  <c r="CS67" i="13"/>
  <c r="CL67" i="13"/>
  <c r="CE67" i="13"/>
  <c r="BX67" i="13"/>
  <c r="BQ67" i="13"/>
  <c r="BJ67" i="13"/>
  <c r="BC67" i="13"/>
  <c r="AV67" i="13"/>
  <c r="AO67" i="13"/>
  <c r="AH67" i="13"/>
  <c r="AA67" i="13"/>
  <c r="CZ66" i="13"/>
  <c r="CS66" i="13"/>
  <c r="CL66" i="13"/>
  <c r="CE66" i="13"/>
  <c r="BX66" i="13"/>
  <c r="BQ66" i="13"/>
  <c r="BJ66" i="13"/>
  <c r="BC66" i="13"/>
  <c r="AV66" i="13"/>
  <c r="AO66" i="13"/>
  <c r="AH66" i="13"/>
  <c r="AA66" i="13"/>
  <c r="CZ65" i="13"/>
  <c r="CS65" i="13"/>
  <c r="CL65" i="13"/>
  <c r="CE65" i="13"/>
  <c r="BX65" i="13"/>
  <c r="BQ65" i="13"/>
  <c r="BJ65" i="13"/>
  <c r="BC65" i="13"/>
  <c r="AV65" i="13"/>
  <c r="AO65" i="13"/>
  <c r="AH65" i="13"/>
  <c r="AA65" i="13"/>
  <c r="CZ64" i="13"/>
  <c r="CS64" i="13"/>
  <c r="CL64" i="13"/>
  <c r="CE64" i="13"/>
  <c r="BX64" i="13"/>
  <c r="BQ64" i="13"/>
  <c r="BJ64" i="13"/>
  <c r="BC64" i="13"/>
  <c r="AV64" i="13"/>
  <c r="AO64" i="13"/>
  <c r="AH64" i="13"/>
  <c r="AA64" i="13"/>
  <c r="CZ87" i="13"/>
  <c r="CS87" i="13"/>
  <c r="CL87" i="13"/>
  <c r="CE87" i="13"/>
  <c r="BX87" i="13"/>
  <c r="BQ87" i="13"/>
  <c r="BJ87" i="13"/>
  <c r="BC87" i="13"/>
  <c r="AV87" i="13"/>
  <c r="AO87" i="13"/>
  <c r="AH87" i="13"/>
  <c r="AA87" i="13"/>
  <c r="CZ86" i="13"/>
  <c r="CS86" i="13"/>
  <c r="CL86" i="13"/>
  <c r="CE86" i="13"/>
  <c r="BX86" i="13"/>
  <c r="BQ86" i="13"/>
  <c r="BJ86" i="13"/>
  <c r="BC86" i="13"/>
  <c r="AV86" i="13"/>
  <c r="AO86" i="13"/>
  <c r="AH86" i="13"/>
  <c r="AA86" i="13"/>
  <c r="CZ85" i="13"/>
  <c r="CS85" i="13"/>
  <c r="CL85" i="13"/>
  <c r="CE85" i="13"/>
  <c r="BX85" i="13"/>
  <c r="BQ85" i="13"/>
  <c r="BJ85" i="13"/>
  <c r="BC85" i="13"/>
  <c r="AV85" i="13"/>
  <c r="AO85" i="13"/>
  <c r="AH85" i="13"/>
  <c r="AA85" i="13"/>
  <c r="CZ84" i="13"/>
  <c r="CS84" i="13"/>
  <c r="CL84" i="13"/>
  <c r="CE84" i="13"/>
  <c r="BX84" i="13"/>
  <c r="BQ84" i="13"/>
  <c r="BJ84" i="13"/>
  <c r="BC84" i="13"/>
  <c r="AV84" i="13"/>
  <c r="AO84" i="13"/>
  <c r="AH84" i="13"/>
  <c r="AA84" i="13"/>
  <c r="CZ83" i="13"/>
  <c r="CS83" i="13"/>
  <c r="CL83" i="13"/>
  <c r="CE83" i="13"/>
  <c r="BX83" i="13"/>
  <c r="BQ83" i="13"/>
  <c r="BJ83" i="13"/>
  <c r="BC83" i="13"/>
  <c r="AV83" i="13"/>
  <c r="AO83" i="13"/>
  <c r="AH83" i="13"/>
  <c r="AA83" i="13"/>
  <c r="CZ82" i="13"/>
  <c r="CS82" i="13"/>
  <c r="CL82" i="13"/>
  <c r="CE82" i="13"/>
  <c r="BX82" i="13"/>
  <c r="BQ82" i="13"/>
  <c r="BJ82" i="13"/>
  <c r="BC82" i="13"/>
  <c r="AV82" i="13"/>
  <c r="AO82" i="13"/>
  <c r="AH82" i="13"/>
  <c r="AA82" i="13"/>
  <c r="CZ81" i="13"/>
  <c r="CS81" i="13"/>
  <c r="CL81" i="13"/>
  <c r="CE81" i="13"/>
  <c r="BX81" i="13"/>
  <c r="BQ81" i="13"/>
  <c r="BJ81" i="13"/>
  <c r="BC81" i="13"/>
  <c r="AV81" i="13"/>
  <c r="AO81" i="13"/>
  <c r="AH81" i="13"/>
  <c r="AA81" i="13"/>
  <c r="CZ80" i="13"/>
  <c r="CS80" i="13"/>
  <c r="CL80" i="13"/>
  <c r="CE80" i="13"/>
  <c r="BX80" i="13"/>
  <c r="BQ80" i="13"/>
  <c r="BJ80" i="13"/>
  <c r="BC80" i="13"/>
  <c r="AV80" i="13"/>
  <c r="AO80" i="13"/>
  <c r="AH80" i="13"/>
  <c r="AA80" i="13"/>
  <c r="CZ79" i="13"/>
  <c r="CS79" i="13"/>
  <c r="CL79" i="13"/>
  <c r="CE79" i="13"/>
  <c r="BX79" i="13"/>
  <c r="BQ79" i="13"/>
  <c r="BJ79" i="13"/>
  <c r="BC79" i="13"/>
  <c r="AV79" i="13"/>
  <c r="AO79" i="13"/>
  <c r="AH79" i="13"/>
  <c r="CZ78" i="13"/>
  <c r="CS78" i="13"/>
  <c r="CL78" i="13"/>
  <c r="CE78" i="13"/>
  <c r="BX78" i="13"/>
  <c r="BQ78" i="13"/>
  <c r="BJ78" i="13"/>
  <c r="BC78" i="13"/>
  <c r="AV78" i="13"/>
  <c r="AO78" i="13"/>
  <c r="AH78" i="13"/>
  <c r="CZ77" i="13"/>
  <c r="CS77" i="13"/>
  <c r="CL77" i="13"/>
  <c r="CE77" i="13"/>
  <c r="BX77" i="13"/>
  <c r="BQ77" i="13"/>
  <c r="BJ77" i="13"/>
  <c r="BC77" i="13"/>
  <c r="AV77" i="13"/>
  <c r="AO77" i="13"/>
  <c r="AH77" i="13"/>
  <c r="CZ76" i="13"/>
  <c r="CS76" i="13"/>
  <c r="CL76" i="13"/>
  <c r="CE76" i="13"/>
  <c r="BX76" i="13"/>
  <c r="BQ76" i="13"/>
  <c r="BJ76" i="13"/>
  <c r="BC76" i="13"/>
  <c r="AV76" i="13"/>
  <c r="AO76" i="13"/>
  <c r="AH76" i="13"/>
  <c r="AA76" i="13"/>
  <c r="V31" i="13"/>
  <c r="V30" i="13"/>
  <c r="T19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S19" i="13"/>
  <c r="T18" i="13"/>
  <c r="S18" i="13"/>
  <c r="T17" i="13"/>
  <c r="S17" i="13"/>
  <c r="T16" i="13"/>
  <c r="S16" i="13"/>
  <c r="T15" i="13"/>
  <c r="S15" i="13"/>
  <c r="T14" i="13"/>
  <c r="S14" i="13"/>
  <c r="T13" i="13"/>
  <c r="S13" i="13"/>
  <c r="T12" i="13"/>
  <c r="S12" i="13"/>
  <c r="T11" i="13"/>
  <c r="S11" i="13"/>
  <c r="T10" i="13"/>
  <c r="S10" i="13"/>
  <c r="T9" i="13"/>
  <c r="S9" i="13"/>
  <c r="T8" i="13"/>
  <c r="S8" i="13"/>
  <c r="T7" i="13"/>
  <c r="S7" i="13"/>
  <c r="T6" i="13"/>
  <c r="S6" i="13"/>
  <c r="T5" i="13"/>
  <c r="S5" i="13"/>
  <c r="T4" i="13"/>
  <c r="S4" i="13"/>
  <c r="T3" i="13"/>
  <c r="S3" i="13"/>
  <c r="CU263" i="13"/>
  <c r="CZ262" i="13"/>
  <c r="CZ261" i="13"/>
  <c r="CZ260" i="13"/>
  <c r="CZ259" i="13"/>
  <c r="CZ258" i="13"/>
  <c r="CZ257" i="13"/>
  <c r="CZ256" i="13"/>
  <c r="CZ255" i="13"/>
  <c r="CZ254" i="13"/>
  <c r="CZ253" i="13"/>
  <c r="CZ252" i="13"/>
  <c r="CZ251" i="13"/>
  <c r="CZ250" i="13"/>
  <c r="CZ249" i="13"/>
  <c r="CZ248" i="13"/>
  <c r="CZ247" i="13"/>
  <c r="CZ246" i="13"/>
  <c r="CZ245" i="13"/>
  <c r="CZ244" i="13"/>
  <c r="CZ243" i="13"/>
  <c r="CZ242" i="13"/>
  <c r="CZ241" i="13"/>
  <c r="CZ240" i="13"/>
  <c r="CZ239" i="13"/>
  <c r="CZ238" i="13"/>
  <c r="CZ237" i="13"/>
  <c r="CZ236" i="13"/>
  <c r="CZ235" i="13"/>
  <c r="CZ234" i="13"/>
  <c r="CZ233" i="13"/>
  <c r="CZ232" i="13"/>
  <c r="CZ231" i="13"/>
  <c r="CZ230" i="13"/>
  <c r="CZ229" i="13"/>
  <c r="CZ228" i="13"/>
  <c r="CZ227" i="13"/>
  <c r="CZ226" i="13"/>
  <c r="CZ225" i="13"/>
  <c r="CZ224" i="13"/>
  <c r="CZ223" i="13"/>
  <c r="CZ222" i="13"/>
  <c r="CZ221" i="13"/>
  <c r="CZ220" i="13"/>
  <c r="CZ219" i="13"/>
  <c r="CZ218" i="13"/>
  <c r="CZ217" i="13"/>
  <c r="CZ216" i="13"/>
  <c r="CZ215" i="13"/>
  <c r="CZ214" i="13"/>
  <c r="CZ213" i="13"/>
  <c r="CZ211" i="13"/>
  <c r="CZ210" i="13"/>
  <c r="CZ209" i="13"/>
  <c r="CZ208" i="13"/>
  <c r="CZ207" i="13"/>
  <c r="CZ206" i="13"/>
  <c r="CZ205" i="13"/>
  <c r="CZ204" i="13"/>
  <c r="CZ143" i="13"/>
  <c r="CZ142" i="13"/>
  <c r="CZ141" i="13"/>
  <c r="CZ140" i="13"/>
  <c r="CZ139" i="13"/>
  <c r="CZ138" i="13"/>
  <c r="CZ137" i="13"/>
  <c r="CZ136" i="13"/>
  <c r="CZ135" i="13"/>
  <c r="CZ134" i="13"/>
  <c r="CZ133" i="13"/>
  <c r="CZ132" i="13"/>
  <c r="CZ131" i="13"/>
  <c r="CZ130" i="13"/>
  <c r="CZ129" i="13"/>
  <c r="CZ128" i="13"/>
  <c r="CZ127" i="13"/>
  <c r="CZ126" i="13"/>
  <c r="CZ125" i="13"/>
  <c r="CZ124" i="13"/>
  <c r="CZ123" i="13"/>
  <c r="CZ122" i="13"/>
  <c r="CZ121" i="13"/>
  <c r="CZ120" i="13"/>
  <c r="CZ119" i="13"/>
  <c r="CZ118" i="13"/>
  <c r="CZ117" i="13"/>
  <c r="CZ116" i="13"/>
  <c r="CZ115" i="13"/>
  <c r="CZ114" i="13"/>
  <c r="CZ113" i="13"/>
  <c r="CZ112" i="13"/>
  <c r="CZ111" i="13"/>
  <c r="CZ110" i="13"/>
  <c r="CZ109" i="13"/>
  <c r="CZ108" i="13"/>
  <c r="CZ107" i="13"/>
  <c r="CZ106" i="13"/>
  <c r="CZ105" i="13"/>
  <c r="CZ104" i="13"/>
  <c r="CZ103" i="13"/>
  <c r="CU101" i="13"/>
  <c r="CU212" i="13" s="1"/>
  <c r="CZ100" i="13"/>
  <c r="CZ99" i="13"/>
  <c r="CZ98" i="13"/>
  <c r="CZ97" i="13"/>
  <c r="CZ96" i="13"/>
  <c r="CZ95" i="13"/>
  <c r="CZ94" i="13"/>
  <c r="CZ93" i="13"/>
  <c r="CZ92" i="13"/>
  <c r="CZ91" i="13"/>
  <c r="CZ90" i="13"/>
  <c r="CZ89" i="13"/>
  <c r="CZ88" i="13"/>
  <c r="CZ39" i="13"/>
  <c r="CZ38" i="13"/>
  <c r="CZ37" i="13"/>
  <c r="CZ36" i="13"/>
  <c r="CZ35" i="13"/>
  <c r="CZ34" i="13"/>
  <c r="CZ33" i="13"/>
  <c r="CZ32" i="13"/>
  <c r="CZ31" i="13"/>
  <c r="CZ30" i="13"/>
  <c r="CZ29" i="13"/>
  <c r="CZ28" i="13"/>
  <c r="CZ27" i="13"/>
  <c r="CZ26" i="13"/>
  <c r="CZ25" i="13"/>
  <c r="CZ24" i="13"/>
  <c r="CZ23" i="13"/>
  <c r="CZ22" i="13"/>
  <c r="CZ21" i="13"/>
  <c r="CZ20" i="13"/>
  <c r="CZ19" i="13"/>
  <c r="CZ18" i="13"/>
  <c r="CZ17" i="13"/>
  <c r="CZ16" i="13"/>
  <c r="CZ15" i="13"/>
  <c r="CZ14" i="13"/>
  <c r="CZ13" i="13"/>
  <c r="CZ12" i="13"/>
  <c r="CZ11" i="13"/>
  <c r="CZ10" i="13"/>
  <c r="CZ9" i="13"/>
  <c r="CZ8" i="13"/>
  <c r="CZ7" i="13"/>
  <c r="CZ6" i="13"/>
  <c r="CZ5" i="13"/>
  <c r="CZ4" i="13"/>
  <c r="CZ3" i="13"/>
  <c r="AQ263" i="13"/>
  <c r="AV262" i="13"/>
  <c r="AV261" i="13"/>
  <c r="AV260" i="13"/>
  <c r="AV259" i="13"/>
  <c r="AV258" i="13"/>
  <c r="AV257" i="13"/>
  <c r="AV256" i="13"/>
  <c r="AV255" i="13"/>
  <c r="AV254" i="13"/>
  <c r="AV253" i="13"/>
  <c r="AV252" i="13"/>
  <c r="AV251" i="13"/>
  <c r="AV250" i="13"/>
  <c r="AV249" i="13"/>
  <c r="AV248" i="13"/>
  <c r="AV247" i="13"/>
  <c r="AV246" i="13"/>
  <c r="AV245" i="13"/>
  <c r="AV244" i="13"/>
  <c r="AV243" i="13"/>
  <c r="AV242" i="13"/>
  <c r="AV241" i="13"/>
  <c r="AV240" i="13"/>
  <c r="AV239" i="13"/>
  <c r="AV238" i="13"/>
  <c r="AV237" i="13"/>
  <c r="AV236" i="13"/>
  <c r="AV235" i="13"/>
  <c r="AV234" i="13"/>
  <c r="AV233" i="13"/>
  <c r="AV232" i="13"/>
  <c r="AV231" i="13"/>
  <c r="AV230" i="13"/>
  <c r="AV229" i="13"/>
  <c r="AV228" i="13"/>
  <c r="AV227" i="13"/>
  <c r="AV226" i="13"/>
  <c r="AV225" i="13"/>
  <c r="AV224" i="13"/>
  <c r="AV223" i="13"/>
  <c r="AV222" i="13"/>
  <c r="AV221" i="13"/>
  <c r="AV220" i="13"/>
  <c r="AV219" i="13"/>
  <c r="AV218" i="13"/>
  <c r="AV217" i="13"/>
  <c r="AV216" i="13"/>
  <c r="AV215" i="13"/>
  <c r="AV214" i="13"/>
  <c r="AV213" i="13"/>
  <c r="AV211" i="13"/>
  <c r="AV210" i="13"/>
  <c r="AV209" i="13"/>
  <c r="AV208" i="13"/>
  <c r="AV207" i="13"/>
  <c r="AV206" i="13"/>
  <c r="AV205" i="13"/>
  <c r="AV204" i="13"/>
  <c r="AV143" i="13"/>
  <c r="AV142" i="13"/>
  <c r="AV141" i="13"/>
  <c r="AV140" i="13"/>
  <c r="AV139" i="13"/>
  <c r="AV138" i="13"/>
  <c r="AV137" i="13"/>
  <c r="AV136" i="13"/>
  <c r="AV135" i="13"/>
  <c r="AV134" i="13"/>
  <c r="AV133" i="13"/>
  <c r="AV132" i="13"/>
  <c r="AV131" i="13"/>
  <c r="AV130" i="13"/>
  <c r="AV129" i="13"/>
  <c r="AV128" i="13"/>
  <c r="AV127" i="13"/>
  <c r="AV126" i="13"/>
  <c r="AV125" i="13"/>
  <c r="AV124" i="13"/>
  <c r="AV123" i="13"/>
  <c r="AV122" i="13"/>
  <c r="AV121" i="13"/>
  <c r="AV120" i="13"/>
  <c r="AV119" i="13"/>
  <c r="AV118" i="13"/>
  <c r="AV117" i="13"/>
  <c r="AV116" i="13"/>
  <c r="AV115" i="13"/>
  <c r="AV114" i="13"/>
  <c r="AV113" i="13"/>
  <c r="AV112" i="13"/>
  <c r="AV111" i="13"/>
  <c r="AV110" i="13"/>
  <c r="AV109" i="13"/>
  <c r="AV108" i="13"/>
  <c r="AV107" i="13"/>
  <c r="AV106" i="13"/>
  <c r="AV105" i="13"/>
  <c r="AV104" i="13"/>
  <c r="AV103" i="13"/>
  <c r="AV102" i="13"/>
  <c r="AQ101" i="13"/>
  <c r="AQ212" i="13" s="1"/>
  <c r="AV100" i="13"/>
  <c r="AV99" i="13"/>
  <c r="AV98" i="13"/>
  <c r="AV97" i="13"/>
  <c r="AV96" i="13"/>
  <c r="AV95" i="13"/>
  <c r="AV94" i="13"/>
  <c r="AV93" i="13"/>
  <c r="AV92" i="13"/>
  <c r="AV91" i="13"/>
  <c r="AV90" i="13"/>
  <c r="AV89" i="13"/>
  <c r="AV88" i="13"/>
  <c r="AV39" i="13"/>
  <c r="AV38" i="13"/>
  <c r="AV37" i="13"/>
  <c r="AV36" i="13"/>
  <c r="AV35" i="13"/>
  <c r="AV34" i="13"/>
  <c r="AV33" i="13"/>
  <c r="AV32" i="13"/>
  <c r="AV31" i="13"/>
  <c r="AV30" i="13"/>
  <c r="AV29" i="13"/>
  <c r="AV28" i="13"/>
  <c r="AV27" i="13"/>
  <c r="AV26" i="13"/>
  <c r="AV25" i="13"/>
  <c r="AV24" i="13"/>
  <c r="AV23" i="13"/>
  <c r="AV22" i="13"/>
  <c r="AV21" i="13"/>
  <c r="AV20" i="13"/>
  <c r="AV19" i="13"/>
  <c r="AV18" i="13"/>
  <c r="AV17" i="13"/>
  <c r="AV16" i="13"/>
  <c r="AV15" i="13"/>
  <c r="AV14" i="13"/>
  <c r="AV13" i="13"/>
  <c r="AV12" i="13"/>
  <c r="AV11" i="13"/>
  <c r="AV10" i="13"/>
  <c r="AV9" i="13"/>
  <c r="AV8" i="13"/>
  <c r="AV7" i="13"/>
  <c r="AV6" i="13"/>
  <c r="AV5" i="13"/>
  <c r="AV4" i="13"/>
  <c r="AV3" i="13"/>
  <c r="CN263" i="13"/>
  <c r="CS262" i="13"/>
  <c r="CS261" i="13"/>
  <c r="CS260" i="13"/>
  <c r="CS259" i="13"/>
  <c r="CS258" i="13"/>
  <c r="CS257" i="13"/>
  <c r="CS256" i="13"/>
  <c r="CS255" i="13"/>
  <c r="CS254" i="13"/>
  <c r="CS253" i="13"/>
  <c r="CS252" i="13"/>
  <c r="CS251" i="13"/>
  <c r="CS250" i="13"/>
  <c r="CS249" i="13"/>
  <c r="CS248" i="13"/>
  <c r="CS247" i="13"/>
  <c r="CS246" i="13"/>
  <c r="CS245" i="13"/>
  <c r="CS244" i="13"/>
  <c r="CS243" i="13"/>
  <c r="CS242" i="13"/>
  <c r="CS241" i="13"/>
  <c r="CS240" i="13"/>
  <c r="CS239" i="13"/>
  <c r="CS238" i="13"/>
  <c r="CS237" i="13"/>
  <c r="CS236" i="13"/>
  <c r="CS235" i="13"/>
  <c r="CS234" i="13"/>
  <c r="CS233" i="13"/>
  <c r="CS232" i="13"/>
  <c r="CS231" i="13"/>
  <c r="CS230" i="13"/>
  <c r="CS229" i="13"/>
  <c r="CS228" i="13"/>
  <c r="CS227" i="13"/>
  <c r="CS226" i="13"/>
  <c r="CS225" i="13"/>
  <c r="CS224" i="13"/>
  <c r="CS223" i="13"/>
  <c r="CS222" i="13"/>
  <c r="CS221" i="13"/>
  <c r="CS220" i="13"/>
  <c r="CS219" i="13"/>
  <c r="CS218" i="13"/>
  <c r="CS217" i="13"/>
  <c r="CS216" i="13"/>
  <c r="CS215" i="13"/>
  <c r="CS211" i="13"/>
  <c r="CS210" i="13"/>
  <c r="CS209" i="13"/>
  <c r="CS208" i="13"/>
  <c r="CS207" i="13"/>
  <c r="CS206" i="13"/>
  <c r="CS205" i="13"/>
  <c r="CS204" i="13"/>
  <c r="CS143" i="13"/>
  <c r="CS142" i="13"/>
  <c r="CS141" i="13"/>
  <c r="CS140" i="13"/>
  <c r="CS139" i="13"/>
  <c r="CS138" i="13"/>
  <c r="CS137" i="13"/>
  <c r="CS136" i="13"/>
  <c r="CS135" i="13"/>
  <c r="CS134" i="13"/>
  <c r="CS133" i="13"/>
  <c r="CS132" i="13"/>
  <c r="CS131" i="13"/>
  <c r="CS130" i="13"/>
  <c r="CS129" i="13"/>
  <c r="CS128" i="13"/>
  <c r="CS127" i="13"/>
  <c r="CS126" i="13"/>
  <c r="CS125" i="13"/>
  <c r="CS124" i="13"/>
  <c r="CS123" i="13"/>
  <c r="CS122" i="13"/>
  <c r="CS121" i="13"/>
  <c r="CS120" i="13"/>
  <c r="CS119" i="13"/>
  <c r="CS118" i="13"/>
  <c r="CS117" i="13"/>
  <c r="CS116" i="13"/>
  <c r="CS115" i="13"/>
  <c r="CS114" i="13"/>
  <c r="CS113" i="13"/>
  <c r="CS112" i="13"/>
  <c r="CS111" i="13"/>
  <c r="CS110" i="13"/>
  <c r="CS109" i="13"/>
  <c r="CS108" i="13"/>
  <c r="CS107" i="13"/>
  <c r="CS106" i="13"/>
  <c r="CS105" i="13"/>
  <c r="CS104" i="13"/>
  <c r="CS103" i="13"/>
  <c r="CS102" i="13"/>
  <c r="CN101" i="13"/>
  <c r="CN212" i="13" s="1"/>
  <c r="CS100" i="13"/>
  <c r="CS99" i="13"/>
  <c r="CS98" i="13"/>
  <c r="CS97" i="13"/>
  <c r="CS96" i="13"/>
  <c r="CS95" i="13"/>
  <c r="CS94" i="13"/>
  <c r="CS93" i="13"/>
  <c r="CS92" i="13"/>
  <c r="CS91" i="13"/>
  <c r="CS90" i="13"/>
  <c r="CS89" i="13"/>
  <c r="CS88" i="13"/>
  <c r="CS39" i="13"/>
  <c r="CS38" i="13"/>
  <c r="CS37" i="13"/>
  <c r="CS36" i="13"/>
  <c r="CS35" i="13"/>
  <c r="CS34" i="13"/>
  <c r="CS33" i="13"/>
  <c r="CS32" i="13"/>
  <c r="CS31" i="13"/>
  <c r="CS30" i="13"/>
  <c r="CS29" i="13"/>
  <c r="CS28" i="13"/>
  <c r="CS27" i="13"/>
  <c r="CS26" i="13"/>
  <c r="CS25" i="13"/>
  <c r="CS24" i="13"/>
  <c r="CS23" i="13"/>
  <c r="CS22" i="13"/>
  <c r="CS21" i="13"/>
  <c r="CS20" i="13"/>
  <c r="CS19" i="13"/>
  <c r="CS18" i="13"/>
  <c r="CS17" i="13"/>
  <c r="CS16" i="13"/>
  <c r="CS15" i="13"/>
  <c r="CS14" i="13"/>
  <c r="CS13" i="13"/>
  <c r="CS12" i="13"/>
  <c r="CS11" i="13"/>
  <c r="CS10" i="13"/>
  <c r="CS9" i="13"/>
  <c r="CS8" i="13"/>
  <c r="CS7" i="13"/>
  <c r="CS6" i="13"/>
  <c r="CS5" i="13"/>
  <c r="CS4" i="13"/>
  <c r="CS3" i="13"/>
  <c r="CG263" i="13"/>
  <c r="CL262" i="13"/>
  <c r="CL261" i="13"/>
  <c r="CL260" i="13"/>
  <c r="CL259" i="13"/>
  <c r="CL258" i="13"/>
  <c r="CL257" i="13"/>
  <c r="CL256" i="13"/>
  <c r="CL255" i="13"/>
  <c r="CL254" i="13"/>
  <c r="CL253" i="13"/>
  <c r="CL252" i="13"/>
  <c r="CL251" i="13"/>
  <c r="CL250" i="13"/>
  <c r="CL249" i="13"/>
  <c r="CL248" i="13"/>
  <c r="CL247" i="13"/>
  <c r="CL246" i="13"/>
  <c r="CL245" i="13"/>
  <c r="CL244" i="13"/>
  <c r="CL243" i="13"/>
  <c r="CL242" i="13"/>
  <c r="CL241" i="13"/>
  <c r="CL240" i="13"/>
  <c r="CL239" i="13"/>
  <c r="CL238" i="13"/>
  <c r="CL237" i="13"/>
  <c r="CL236" i="13"/>
  <c r="CL235" i="13"/>
  <c r="CL234" i="13"/>
  <c r="CL233" i="13"/>
  <c r="CL232" i="13"/>
  <c r="CL231" i="13"/>
  <c r="CL230" i="13"/>
  <c r="CL229" i="13"/>
  <c r="CL228" i="13"/>
  <c r="CL227" i="13"/>
  <c r="CL226" i="13"/>
  <c r="CL225" i="13"/>
  <c r="CL224" i="13"/>
  <c r="CL223" i="13"/>
  <c r="CL222" i="13"/>
  <c r="CL221" i="13"/>
  <c r="CL220" i="13"/>
  <c r="CL219" i="13"/>
  <c r="CL218" i="13"/>
  <c r="CL217" i="13"/>
  <c r="CL216" i="13"/>
  <c r="CL215" i="13"/>
  <c r="CL214" i="13"/>
  <c r="CL211" i="13"/>
  <c r="CL210" i="13"/>
  <c r="CL209" i="13"/>
  <c r="CL208" i="13"/>
  <c r="CL207" i="13"/>
  <c r="CL206" i="13"/>
  <c r="CL205" i="13"/>
  <c r="CL204" i="13"/>
  <c r="CL143" i="13"/>
  <c r="CL142" i="13"/>
  <c r="CL141" i="13"/>
  <c r="CL140" i="13"/>
  <c r="CL139" i="13"/>
  <c r="CL138" i="13"/>
  <c r="CL137" i="13"/>
  <c r="CL136" i="13"/>
  <c r="CL135" i="13"/>
  <c r="CL134" i="13"/>
  <c r="CL133" i="13"/>
  <c r="CL132" i="13"/>
  <c r="CL131" i="13"/>
  <c r="CL130" i="13"/>
  <c r="CL129" i="13"/>
  <c r="CL128" i="13"/>
  <c r="CL127" i="13"/>
  <c r="CL126" i="13"/>
  <c r="CL125" i="13"/>
  <c r="CL124" i="13"/>
  <c r="CL123" i="13"/>
  <c r="CL122" i="13"/>
  <c r="CL121" i="13"/>
  <c r="CL120" i="13"/>
  <c r="CL119" i="13"/>
  <c r="CL118" i="13"/>
  <c r="CL117" i="13"/>
  <c r="CL116" i="13"/>
  <c r="CL115" i="13"/>
  <c r="CL114" i="13"/>
  <c r="CL113" i="13"/>
  <c r="CL112" i="13"/>
  <c r="CL111" i="13"/>
  <c r="CL110" i="13"/>
  <c r="CL109" i="13"/>
  <c r="CL108" i="13"/>
  <c r="CL107" i="13"/>
  <c r="CL106" i="13"/>
  <c r="CL105" i="13"/>
  <c r="CL104" i="13"/>
  <c r="CL103" i="13"/>
  <c r="CL102" i="13"/>
  <c r="CG101" i="13"/>
  <c r="CG212" i="13" s="1"/>
  <c r="CL100" i="13"/>
  <c r="CL99" i="13"/>
  <c r="CL98" i="13"/>
  <c r="CL97" i="13"/>
  <c r="CL96" i="13"/>
  <c r="CL95" i="13"/>
  <c r="CL94" i="13"/>
  <c r="CL93" i="13"/>
  <c r="CL92" i="13"/>
  <c r="CL91" i="13"/>
  <c r="CL90" i="13"/>
  <c r="CL89" i="13"/>
  <c r="CL88" i="13"/>
  <c r="CL39" i="13"/>
  <c r="CL38" i="13"/>
  <c r="CL37" i="13"/>
  <c r="CL36" i="13"/>
  <c r="CL35" i="13"/>
  <c r="CL34" i="13"/>
  <c r="CL33" i="13"/>
  <c r="CL32" i="13"/>
  <c r="CL31" i="13"/>
  <c r="CL30" i="13"/>
  <c r="CL29" i="13"/>
  <c r="CL28" i="13"/>
  <c r="CL27" i="13"/>
  <c r="CL26" i="13"/>
  <c r="CL25" i="13"/>
  <c r="CL24" i="13"/>
  <c r="CL23" i="13"/>
  <c r="CL22" i="13"/>
  <c r="CL21" i="13"/>
  <c r="CL20" i="13"/>
  <c r="CL19" i="13"/>
  <c r="CL18" i="13"/>
  <c r="CL17" i="13"/>
  <c r="CL16" i="13"/>
  <c r="CL15" i="13"/>
  <c r="CL14" i="13"/>
  <c r="CL13" i="13"/>
  <c r="CL12" i="13"/>
  <c r="CL11" i="13"/>
  <c r="CL10" i="13"/>
  <c r="CL9" i="13"/>
  <c r="CL8" i="13"/>
  <c r="CL7" i="13"/>
  <c r="CL6" i="13"/>
  <c r="CL5" i="13"/>
  <c r="CL4" i="13"/>
  <c r="CL3" i="13"/>
  <c r="BZ263" i="13"/>
  <c r="CE262" i="13"/>
  <c r="CE261" i="13"/>
  <c r="CE260" i="13"/>
  <c r="CE259" i="13"/>
  <c r="CE258" i="13"/>
  <c r="CE257" i="13"/>
  <c r="CE256" i="13"/>
  <c r="CE255" i="13"/>
  <c r="CE254" i="13"/>
  <c r="CE253" i="13"/>
  <c r="CE252" i="13"/>
  <c r="CE251" i="13"/>
  <c r="CE250" i="13"/>
  <c r="CE249" i="13"/>
  <c r="CE248" i="13"/>
  <c r="CE247" i="13"/>
  <c r="CE246" i="13"/>
  <c r="CE245" i="13"/>
  <c r="CE244" i="13"/>
  <c r="CE243" i="13"/>
  <c r="CE242" i="13"/>
  <c r="CE241" i="13"/>
  <c r="CE240" i="13"/>
  <c r="CE239" i="13"/>
  <c r="CE238" i="13"/>
  <c r="CE237" i="13"/>
  <c r="CE236" i="13"/>
  <c r="CE235" i="13"/>
  <c r="CE234" i="13"/>
  <c r="CE233" i="13"/>
  <c r="CE232" i="13"/>
  <c r="CE231" i="13"/>
  <c r="CE230" i="13"/>
  <c r="CE229" i="13"/>
  <c r="CE228" i="13"/>
  <c r="CE227" i="13"/>
  <c r="CE226" i="13"/>
  <c r="CE225" i="13"/>
  <c r="CE224" i="13"/>
  <c r="CE223" i="13"/>
  <c r="CE222" i="13"/>
  <c r="CE221" i="13"/>
  <c r="CE220" i="13"/>
  <c r="CE219" i="13"/>
  <c r="CE218" i="13"/>
  <c r="CE217" i="13"/>
  <c r="CE216" i="13"/>
  <c r="CE215" i="13"/>
  <c r="CE214" i="13"/>
  <c r="CE213" i="13"/>
  <c r="CE211" i="13"/>
  <c r="CE210" i="13"/>
  <c r="CE209" i="13"/>
  <c r="CE208" i="13"/>
  <c r="CE207" i="13"/>
  <c r="CE206" i="13"/>
  <c r="CE205" i="13"/>
  <c r="CE204" i="13"/>
  <c r="CE143" i="13"/>
  <c r="CE142" i="13"/>
  <c r="CE141" i="13"/>
  <c r="CE140" i="13"/>
  <c r="CE139" i="13"/>
  <c r="CE138" i="13"/>
  <c r="CE137" i="13"/>
  <c r="CE136" i="13"/>
  <c r="CE135" i="13"/>
  <c r="CE134" i="13"/>
  <c r="CE133" i="13"/>
  <c r="CE132" i="13"/>
  <c r="CE131" i="13"/>
  <c r="CE130" i="13"/>
  <c r="CE129" i="13"/>
  <c r="CE128" i="13"/>
  <c r="CE127" i="13"/>
  <c r="CE126" i="13"/>
  <c r="CE125" i="13"/>
  <c r="CE124" i="13"/>
  <c r="CE123" i="13"/>
  <c r="CE122" i="13"/>
  <c r="CE121" i="13"/>
  <c r="CE120" i="13"/>
  <c r="CE119" i="13"/>
  <c r="CE118" i="13"/>
  <c r="CE117" i="13"/>
  <c r="CE116" i="13"/>
  <c r="CE115" i="13"/>
  <c r="CE114" i="13"/>
  <c r="CE113" i="13"/>
  <c r="CE112" i="13"/>
  <c r="CE111" i="13"/>
  <c r="CE110" i="13"/>
  <c r="CE109" i="13"/>
  <c r="CE108" i="13"/>
  <c r="CE107" i="13"/>
  <c r="CE106" i="13"/>
  <c r="CE105" i="13"/>
  <c r="CE104" i="13"/>
  <c r="BZ101" i="13"/>
  <c r="BZ212" i="13" s="1"/>
  <c r="CE100" i="13"/>
  <c r="CE99" i="13"/>
  <c r="CE98" i="13"/>
  <c r="CE97" i="13"/>
  <c r="CE96" i="13"/>
  <c r="CE95" i="13"/>
  <c r="CE94" i="13"/>
  <c r="CE93" i="13"/>
  <c r="CE92" i="13"/>
  <c r="CE91" i="13"/>
  <c r="CE90" i="13"/>
  <c r="CE89" i="13"/>
  <c r="CE88" i="13"/>
  <c r="CE39" i="13"/>
  <c r="CE38" i="13"/>
  <c r="CE37" i="13"/>
  <c r="CE36" i="13"/>
  <c r="CE35" i="13"/>
  <c r="CE34" i="13"/>
  <c r="CE33" i="13"/>
  <c r="CE32" i="13"/>
  <c r="CE31" i="13"/>
  <c r="CE30" i="13"/>
  <c r="CE29" i="13"/>
  <c r="CE28" i="13"/>
  <c r="CE27" i="13"/>
  <c r="CE26" i="13"/>
  <c r="CE25" i="13"/>
  <c r="CE24" i="13"/>
  <c r="CE23" i="13"/>
  <c r="CE22" i="13"/>
  <c r="CE21" i="13"/>
  <c r="CE20" i="13"/>
  <c r="CE19" i="13"/>
  <c r="CE18" i="13"/>
  <c r="CE17" i="13"/>
  <c r="CE16" i="13"/>
  <c r="CE15" i="13"/>
  <c r="CE14" i="13"/>
  <c r="CE13" i="13"/>
  <c r="CE12" i="13"/>
  <c r="CE11" i="13"/>
  <c r="CE10" i="13"/>
  <c r="CE9" i="13"/>
  <c r="CE8" i="13"/>
  <c r="CE7" i="13"/>
  <c r="CE6" i="13"/>
  <c r="CE5" i="13"/>
  <c r="BS263" i="13"/>
  <c r="BX262" i="13"/>
  <c r="BX261" i="13"/>
  <c r="BX260" i="13"/>
  <c r="BX259" i="13"/>
  <c r="BX258" i="13"/>
  <c r="BX257" i="13"/>
  <c r="BX256" i="13"/>
  <c r="BX255" i="13"/>
  <c r="BX254" i="13"/>
  <c r="BX253" i="13"/>
  <c r="BX252" i="13"/>
  <c r="BX251" i="13"/>
  <c r="BX250" i="13"/>
  <c r="BX249" i="13"/>
  <c r="BX248" i="13"/>
  <c r="BX247" i="13"/>
  <c r="BX246" i="13"/>
  <c r="BX245" i="13"/>
  <c r="BX244" i="13"/>
  <c r="BX243" i="13"/>
  <c r="BX242" i="13"/>
  <c r="BX241" i="13"/>
  <c r="BX240" i="13"/>
  <c r="BX239" i="13"/>
  <c r="BX238" i="13"/>
  <c r="BX237" i="13"/>
  <c r="BX236" i="13"/>
  <c r="BX235" i="13"/>
  <c r="BX234" i="13"/>
  <c r="BX233" i="13"/>
  <c r="BX232" i="13"/>
  <c r="BX231" i="13"/>
  <c r="BX230" i="13"/>
  <c r="BX229" i="13"/>
  <c r="BX228" i="13"/>
  <c r="BX227" i="13"/>
  <c r="BX226" i="13"/>
  <c r="BX225" i="13"/>
  <c r="BX224" i="13"/>
  <c r="BX223" i="13"/>
  <c r="BX222" i="13"/>
  <c r="BX221" i="13"/>
  <c r="BX220" i="13"/>
  <c r="BX219" i="13"/>
  <c r="BX218" i="13"/>
  <c r="BX217" i="13"/>
  <c r="BX216" i="13"/>
  <c r="BX215" i="13"/>
  <c r="BX214" i="13"/>
  <c r="BX213" i="13"/>
  <c r="BX211" i="13"/>
  <c r="BX210" i="13"/>
  <c r="BX209" i="13"/>
  <c r="BX208" i="13"/>
  <c r="BX207" i="13"/>
  <c r="BX206" i="13"/>
  <c r="BX205" i="13"/>
  <c r="BX204" i="13"/>
  <c r="BX143" i="13"/>
  <c r="BX142" i="13"/>
  <c r="BX141" i="13"/>
  <c r="BX140" i="13"/>
  <c r="BX139" i="13"/>
  <c r="BX138" i="13"/>
  <c r="BX137" i="13"/>
  <c r="BX136" i="13"/>
  <c r="BX135" i="13"/>
  <c r="BX134" i="13"/>
  <c r="BX133" i="13"/>
  <c r="BX132" i="13"/>
  <c r="BX131" i="13"/>
  <c r="BX130" i="13"/>
  <c r="BX129" i="13"/>
  <c r="BX128" i="13"/>
  <c r="BX127" i="13"/>
  <c r="BX126" i="13"/>
  <c r="BX125" i="13"/>
  <c r="BX124" i="13"/>
  <c r="BX123" i="13"/>
  <c r="BX122" i="13"/>
  <c r="BX121" i="13"/>
  <c r="BX120" i="13"/>
  <c r="BX119" i="13"/>
  <c r="BX118" i="13"/>
  <c r="BX117" i="13"/>
  <c r="BX116" i="13"/>
  <c r="BX115" i="13"/>
  <c r="BX114" i="13"/>
  <c r="BX113" i="13"/>
  <c r="BX112" i="13"/>
  <c r="BX111" i="13"/>
  <c r="BX110" i="13"/>
  <c r="BX109" i="13"/>
  <c r="BX108" i="13"/>
  <c r="BX107" i="13"/>
  <c r="BX106" i="13"/>
  <c r="BX105" i="13"/>
  <c r="BX104" i="13"/>
  <c r="BX103" i="13"/>
  <c r="BX102" i="13"/>
  <c r="BS101" i="13"/>
  <c r="BS212" i="13" s="1"/>
  <c r="BX100" i="13"/>
  <c r="BX99" i="13"/>
  <c r="BX98" i="13"/>
  <c r="BX97" i="13"/>
  <c r="BX96" i="13"/>
  <c r="BX95" i="13"/>
  <c r="BX94" i="13"/>
  <c r="BX93" i="13"/>
  <c r="BX92" i="13"/>
  <c r="BX91" i="13"/>
  <c r="BX90" i="13"/>
  <c r="BX89" i="13"/>
  <c r="BX88" i="13"/>
  <c r="BX39" i="13"/>
  <c r="BX38" i="13"/>
  <c r="BX37" i="13"/>
  <c r="BX36" i="13"/>
  <c r="BX35" i="13"/>
  <c r="BX34" i="13"/>
  <c r="BX33" i="13"/>
  <c r="BX32" i="13"/>
  <c r="BX31" i="13"/>
  <c r="BX30" i="13"/>
  <c r="BX29" i="13"/>
  <c r="BX28" i="13"/>
  <c r="BX27" i="13"/>
  <c r="BX26" i="13"/>
  <c r="BX25" i="13"/>
  <c r="BX24" i="13"/>
  <c r="BX23" i="13"/>
  <c r="BX22" i="13"/>
  <c r="BX21" i="13"/>
  <c r="BX20" i="13"/>
  <c r="BX19" i="13"/>
  <c r="BX18" i="13"/>
  <c r="BX17" i="13"/>
  <c r="BX16" i="13"/>
  <c r="BX15" i="13"/>
  <c r="BX14" i="13"/>
  <c r="BX13" i="13"/>
  <c r="BX12" i="13"/>
  <c r="BX11" i="13"/>
  <c r="BX10" i="13"/>
  <c r="BX9" i="13"/>
  <c r="BX8" i="13"/>
  <c r="BX7" i="13"/>
  <c r="BX6" i="13"/>
  <c r="BX5" i="13"/>
  <c r="BX4" i="13"/>
  <c r="BX3" i="13"/>
  <c r="BL263" i="13"/>
  <c r="BQ262" i="13"/>
  <c r="BQ261" i="13"/>
  <c r="BQ260" i="13"/>
  <c r="BQ259" i="13"/>
  <c r="BQ258" i="13"/>
  <c r="BQ257" i="13"/>
  <c r="BQ256" i="13"/>
  <c r="BQ255" i="13"/>
  <c r="BQ254" i="13"/>
  <c r="BQ253" i="13"/>
  <c r="BQ252" i="13"/>
  <c r="BQ251" i="13"/>
  <c r="BQ250" i="13"/>
  <c r="BQ249" i="13"/>
  <c r="BQ248" i="13"/>
  <c r="BQ247" i="13"/>
  <c r="BQ246" i="13"/>
  <c r="BQ245" i="13"/>
  <c r="BQ244" i="13"/>
  <c r="BQ243" i="13"/>
  <c r="BQ242" i="13"/>
  <c r="BQ241" i="13"/>
  <c r="BQ240" i="13"/>
  <c r="BQ239" i="13"/>
  <c r="BQ238" i="13"/>
  <c r="BQ237" i="13"/>
  <c r="BQ236" i="13"/>
  <c r="BQ235" i="13"/>
  <c r="BQ234" i="13"/>
  <c r="BQ233" i="13"/>
  <c r="BQ232" i="13"/>
  <c r="BQ231" i="13"/>
  <c r="BQ230" i="13"/>
  <c r="BQ229" i="13"/>
  <c r="BQ228" i="13"/>
  <c r="BQ227" i="13"/>
  <c r="BQ226" i="13"/>
  <c r="BQ225" i="13"/>
  <c r="BQ224" i="13"/>
  <c r="BQ223" i="13"/>
  <c r="BQ222" i="13"/>
  <c r="BQ221" i="13"/>
  <c r="BQ220" i="13"/>
  <c r="BQ219" i="13"/>
  <c r="BQ218" i="13"/>
  <c r="BQ217" i="13"/>
  <c r="BQ216" i="13"/>
  <c r="BQ215" i="13"/>
  <c r="BQ214" i="13"/>
  <c r="BQ213" i="13"/>
  <c r="BQ211" i="13"/>
  <c r="BQ210" i="13"/>
  <c r="BQ209" i="13"/>
  <c r="BQ208" i="13"/>
  <c r="BQ207" i="13"/>
  <c r="BQ206" i="13"/>
  <c r="BQ205" i="13"/>
  <c r="BQ204" i="13"/>
  <c r="BQ143" i="13"/>
  <c r="BQ142" i="13"/>
  <c r="BQ141" i="13"/>
  <c r="BQ140" i="13"/>
  <c r="BQ139" i="13"/>
  <c r="BQ138" i="13"/>
  <c r="BQ137" i="13"/>
  <c r="BQ136" i="13"/>
  <c r="BQ135" i="13"/>
  <c r="BQ134" i="13"/>
  <c r="BQ133" i="13"/>
  <c r="BQ132" i="13"/>
  <c r="BQ131" i="13"/>
  <c r="BQ130" i="13"/>
  <c r="BQ129" i="13"/>
  <c r="BQ128" i="13"/>
  <c r="BQ127" i="13"/>
  <c r="BQ126" i="13"/>
  <c r="BQ125" i="13"/>
  <c r="BQ124" i="13"/>
  <c r="BQ123" i="13"/>
  <c r="BQ122" i="13"/>
  <c r="BQ121" i="13"/>
  <c r="BQ120" i="13"/>
  <c r="BQ119" i="13"/>
  <c r="BQ118" i="13"/>
  <c r="BQ117" i="13"/>
  <c r="BQ116" i="13"/>
  <c r="BQ115" i="13"/>
  <c r="BQ114" i="13"/>
  <c r="BQ113" i="13"/>
  <c r="BQ112" i="13"/>
  <c r="BQ111" i="13"/>
  <c r="BQ110" i="13"/>
  <c r="BQ109" i="13"/>
  <c r="BQ108" i="13"/>
  <c r="BQ107" i="13"/>
  <c r="BQ106" i="13"/>
  <c r="BQ105" i="13"/>
  <c r="BQ104" i="13"/>
  <c r="BL101" i="13"/>
  <c r="BL212" i="13" s="1"/>
  <c r="BQ100" i="13"/>
  <c r="BQ99" i="13"/>
  <c r="BQ98" i="13"/>
  <c r="BQ97" i="13"/>
  <c r="BQ96" i="13"/>
  <c r="BQ95" i="13"/>
  <c r="BQ94" i="13"/>
  <c r="BQ93" i="13"/>
  <c r="BQ92" i="13"/>
  <c r="BQ91" i="13"/>
  <c r="BQ90" i="13"/>
  <c r="BQ89" i="13"/>
  <c r="BQ88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E263" i="13"/>
  <c r="BJ262" i="13"/>
  <c r="BJ261" i="13"/>
  <c r="BJ260" i="13"/>
  <c r="BJ259" i="13"/>
  <c r="BJ258" i="13"/>
  <c r="BJ257" i="13"/>
  <c r="BJ256" i="13"/>
  <c r="BJ255" i="13"/>
  <c r="BJ254" i="13"/>
  <c r="BJ253" i="13"/>
  <c r="BJ252" i="13"/>
  <c r="BJ251" i="13"/>
  <c r="BJ250" i="13"/>
  <c r="BJ249" i="13"/>
  <c r="BJ248" i="13"/>
  <c r="BJ247" i="13"/>
  <c r="BJ246" i="13"/>
  <c r="BJ245" i="13"/>
  <c r="BJ244" i="13"/>
  <c r="BJ243" i="13"/>
  <c r="BJ242" i="13"/>
  <c r="BJ241" i="13"/>
  <c r="BJ240" i="13"/>
  <c r="BJ239" i="13"/>
  <c r="BJ238" i="13"/>
  <c r="BJ237" i="13"/>
  <c r="BJ236" i="13"/>
  <c r="BJ235" i="13"/>
  <c r="BJ234" i="13"/>
  <c r="BJ233" i="13"/>
  <c r="BJ232" i="13"/>
  <c r="BJ231" i="13"/>
  <c r="BJ230" i="13"/>
  <c r="BJ229" i="13"/>
  <c r="BJ228" i="13"/>
  <c r="BJ227" i="13"/>
  <c r="BJ226" i="13"/>
  <c r="BJ225" i="13"/>
  <c r="BJ224" i="13"/>
  <c r="BJ223" i="13"/>
  <c r="BJ222" i="13"/>
  <c r="BJ221" i="13"/>
  <c r="BJ220" i="13"/>
  <c r="BJ219" i="13"/>
  <c r="BJ218" i="13"/>
  <c r="BJ217" i="13"/>
  <c r="BJ216" i="13"/>
  <c r="BJ215" i="13"/>
  <c r="BJ214" i="13"/>
  <c r="BJ213" i="13"/>
  <c r="BJ211" i="13"/>
  <c r="BJ210" i="13"/>
  <c r="BJ209" i="13"/>
  <c r="BJ208" i="13"/>
  <c r="BJ207" i="13"/>
  <c r="BJ206" i="13"/>
  <c r="BJ205" i="13"/>
  <c r="BJ204" i="13"/>
  <c r="BJ143" i="13"/>
  <c r="BJ142" i="13"/>
  <c r="BJ141" i="13"/>
  <c r="BJ140" i="13"/>
  <c r="BJ139" i="13"/>
  <c r="BJ138" i="13"/>
  <c r="BJ137" i="13"/>
  <c r="BJ136" i="13"/>
  <c r="BJ135" i="13"/>
  <c r="BJ134" i="13"/>
  <c r="BJ133" i="13"/>
  <c r="BJ132" i="13"/>
  <c r="BJ131" i="13"/>
  <c r="BJ130" i="13"/>
  <c r="BJ129" i="13"/>
  <c r="BJ128" i="13"/>
  <c r="BJ127" i="13"/>
  <c r="BJ126" i="13"/>
  <c r="BJ125" i="13"/>
  <c r="BJ124" i="13"/>
  <c r="BJ123" i="13"/>
  <c r="BJ122" i="13"/>
  <c r="BJ121" i="13"/>
  <c r="BJ120" i="13"/>
  <c r="BJ119" i="13"/>
  <c r="BJ118" i="13"/>
  <c r="BJ117" i="13"/>
  <c r="BJ116" i="13"/>
  <c r="BJ115" i="13"/>
  <c r="BJ114" i="13"/>
  <c r="BJ113" i="13"/>
  <c r="BJ112" i="13"/>
  <c r="BJ110" i="13"/>
  <c r="BE101" i="13"/>
  <c r="BE212" i="13" s="1"/>
  <c r="BJ100" i="13"/>
  <c r="BJ99" i="13"/>
  <c r="BJ98" i="13"/>
  <c r="BJ97" i="13"/>
  <c r="BJ96" i="13"/>
  <c r="BJ95" i="13"/>
  <c r="BJ94" i="13"/>
  <c r="BJ93" i="13"/>
  <c r="BJ92" i="13"/>
  <c r="BJ91" i="13"/>
  <c r="BJ90" i="13"/>
  <c r="BJ89" i="13"/>
  <c r="BJ88" i="13"/>
  <c r="BJ39" i="13"/>
  <c r="BJ38" i="13"/>
  <c r="BJ37" i="13"/>
  <c r="BJ36" i="13"/>
  <c r="BJ35" i="13"/>
  <c r="BJ34" i="13"/>
  <c r="BJ33" i="13"/>
  <c r="BJ32" i="13"/>
  <c r="BJ31" i="13"/>
  <c r="BJ30" i="13"/>
  <c r="BJ29" i="13"/>
  <c r="BJ28" i="13"/>
  <c r="BJ27" i="13"/>
  <c r="BJ26" i="13"/>
  <c r="BJ25" i="13"/>
  <c r="BJ24" i="13"/>
  <c r="BJ23" i="13"/>
  <c r="BJ22" i="13"/>
  <c r="BJ21" i="13"/>
  <c r="BJ20" i="13"/>
  <c r="BJ19" i="13"/>
  <c r="BJ18" i="13"/>
  <c r="BJ17" i="13"/>
  <c r="BJ16" i="13"/>
  <c r="BJ5" i="13"/>
  <c r="AX263" i="13"/>
  <c r="BC262" i="13"/>
  <c r="BC261" i="13"/>
  <c r="BC260" i="13"/>
  <c r="BC259" i="13"/>
  <c r="BC258" i="13"/>
  <c r="BC257" i="13"/>
  <c r="BC256" i="13"/>
  <c r="BC255" i="13"/>
  <c r="BC254" i="13"/>
  <c r="BC253" i="13"/>
  <c r="BC252" i="13"/>
  <c r="BC251" i="13"/>
  <c r="BC250" i="13"/>
  <c r="BC249" i="13"/>
  <c r="BC248" i="13"/>
  <c r="BC247" i="13"/>
  <c r="BC246" i="13"/>
  <c r="BC245" i="13"/>
  <c r="BC244" i="13"/>
  <c r="BC243" i="13"/>
  <c r="BC242" i="13"/>
  <c r="BC241" i="13"/>
  <c r="BC240" i="13"/>
  <c r="BC239" i="13"/>
  <c r="BC238" i="13"/>
  <c r="BC237" i="13"/>
  <c r="BC236" i="13"/>
  <c r="BC235" i="13"/>
  <c r="BC234" i="13"/>
  <c r="BC233" i="13"/>
  <c r="BC232" i="13"/>
  <c r="BC231" i="13"/>
  <c r="BC230" i="13"/>
  <c r="BC229" i="13"/>
  <c r="BC228" i="13"/>
  <c r="BC227" i="13"/>
  <c r="BC226" i="13"/>
  <c r="BC225" i="13"/>
  <c r="BC224" i="13"/>
  <c r="BC223" i="13"/>
  <c r="BC222" i="13"/>
  <c r="BC221" i="13"/>
  <c r="BC220" i="13"/>
  <c r="BC219" i="13"/>
  <c r="BC218" i="13"/>
  <c r="BC217" i="13"/>
  <c r="BC216" i="13"/>
  <c r="BC215" i="13"/>
  <c r="BC211" i="13"/>
  <c r="BC210" i="13"/>
  <c r="BC209" i="13"/>
  <c r="BC208" i="13"/>
  <c r="BC207" i="13"/>
  <c r="BC206" i="13"/>
  <c r="BC205" i="13"/>
  <c r="BC204" i="13"/>
  <c r="BC143" i="13"/>
  <c r="BC142" i="13"/>
  <c r="BC141" i="13"/>
  <c r="BC140" i="13"/>
  <c r="BC139" i="13"/>
  <c r="BC138" i="13"/>
  <c r="BC137" i="13"/>
  <c r="BC136" i="13"/>
  <c r="BC135" i="13"/>
  <c r="BC134" i="13"/>
  <c r="BC133" i="13"/>
  <c r="BC132" i="13"/>
  <c r="BC131" i="13"/>
  <c r="BC130" i="13"/>
  <c r="BC129" i="13"/>
  <c r="BC128" i="13"/>
  <c r="BC127" i="13"/>
  <c r="BC126" i="13"/>
  <c r="BC125" i="13"/>
  <c r="BC124" i="13"/>
  <c r="BC123" i="13"/>
  <c r="BC122" i="13"/>
  <c r="BC121" i="13"/>
  <c r="BC120" i="13"/>
  <c r="BC119" i="13"/>
  <c r="BC118" i="13"/>
  <c r="BC117" i="13"/>
  <c r="BC116" i="13"/>
  <c r="BC115" i="13"/>
  <c r="BC114" i="13"/>
  <c r="BC113" i="13"/>
  <c r="BC112" i="13"/>
  <c r="BC111" i="13"/>
  <c r="BC110" i="13"/>
  <c r="BC109" i="13"/>
  <c r="BC108" i="13"/>
  <c r="BC107" i="13"/>
  <c r="AX101" i="13"/>
  <c r="AX212" i="13" s="1"/>
  <c r="BC100" i="13"/>
  <c r="BC99" i="13"/>
  <c r="BC98" i="13"/>
  <c r="BC97" i="13"/>
  <c r="BC96" i="13"/>
  <c r="BC95" i="13"/>
  <c r="BC94" i="13"/>
  <c r="BC93" i="13"/>
  <c r="BC92" i="13"/>
  <c r="BC91" i="13"/>
  <c r="BC90" i="13"/>
  <c r="BC89" i="13"/>
  <c r="BC88" i="13"/>
  <c r="BC39" i="13"/>
  <c r="BC38" i="13"/>
  <c r="BC37" i="13"/>
  <c r="BC36" i="13"/>
  <c r="BC35" i="13"/>
  <c r="BC34" i="13"/>
  <c r="BC33" i="13"/>
  <c r="BC32" i="13"/>
  <c r="BC31" i="13"/>
  <c r="BC30" i="13"/>
  <c r="BC29" i="13"/>
  <c r="BC28" i="13"/>
  <c r="BC27" i="13"/>
  <c r="BC24" i="13"/>
  <c r="BC20" i="13"/>
  <c r="BC16" i="13"/>
  <c r="BC11" i="13"/>
  <c r="BC10" i="13"/>
  <c r="BC9" i="13"/>
  <c r="BC8" i="13"/>
  <c r="BC7" i="13"/>
  <c r="BC6" i="13"/>
  <c r="BC5" i="13"/>
  <c r="BC4" i="13"/>
  <c r="AJ263" i="13"/>
  <c r="AO262" i="13"/>
  <c r="AO261" i="13"/>
  <c r="AO260" i="13"/>
  <c r="AO259" i="13"/>
  <c r="AO258" i="13"/>
  <c r="AO257" i="13"/>
  <c r="AO256" i="13"/>
  <c r="AO255" i="13"/>
  <c r="AO254" i="13"/>
  <c r="AO253" i="13"/>
  <c r="AO252" i="13"/>
  <c r="AO251" i="13"/>
  <c r="AO250" i="13"/>
  <c r="AO249" i="13"/>
  <c r="AO248" i="13"/>
  <c r="AO247" i="13"/>
  <c r="AO246" i="13"/>
  <c r="AO245" i="13"/>
  <c r="AO244" i="13"/>
  <c r="AO243" i="13"/>
  <c r="AO242" i="13"/>
  <c r="AO241" i="13"/>
  <c r="AO240" i="13"/>
  <c r="AO239" i="13"/>
  <c r="AO238" i="13"/>
  <c r="AO237" i="13"/>
  <c r="AO236" i="13"/>
  <c r="AO235" i="13"/>
  <c r="AO234" i="13"/>
  <c r="AO233" i="13"/>
  <c r="AO232" i="13"/>
  <c r="AO231" i="13"/>
  <c r="AO230" i="13"/>
  <c r="AO227" i="13"/>
  <c r="AO225" i="13"/>
  <c r="AO224" i="13"/>
  <c r="AO222" i="13"/>
  <c r="AO221" i="13"/>
  <c r="AO219" i="13"/>
  <c r="AO217" i="13"/>
  <c r="AO215" i="13"/>
  <c r="AO214" i="13"/>
  <c r="AO211" i="13"/>
  <c r="AO210" i="13"/>
  <c r="AO209" i="13"/>
  <c r="AO208" i="13"/>
  <c r="AO207" i="13"/>
  <c r="AO206" i="13"/>
  <c r="AO205" i="13"/>
  <c r="AO204" i="13"/>
  <c r="AO143" i="13"/>
  <c r="AO142" i="13"/>
  <c r="AO141" i="13"/>
  <c r="AO140" i="13"/>
  <c r="AO139" i="13"/>
  <c r="AO138" i="13"/>
  <c r="AO137" i="13"/>
  <c r="AO136" i="13"/>
  <c r="AO135" i="13"/>
  <c r="AO134" i="13"/>
  <c r="AO133" i="13"/>
  <c r="AO132" i="13"/>
  <c r="AO131" i="13"/>
  <c r="AO130" i="13"/>
  <c r="AO129" i="13"/>
  <c r="AO128" i="13"/>
  <c r="AO127" i="13"/>
  <c r="AO126" i="13"/>
  <c r="AO125" i="13"/>
  <c r="AO124" i="13"/>
  <c r="AO123" i="13"/>
  <c r="AO122" i="13"/>
  <c r="AO121" i="13"/>
  <c r="AO120" i="13"/>
  <c r="AO119" i="13"/>
  <c r="AO118" i="13"/>
  <c r="AO117" i="13"/>
  <c r="AO116" i="13"/>
  <c r="AO115" i="13"/>
  <c r="AO114" i="13"/>
  <c r="AO113" i="13"/>
  <c r="AO112" i="13"/>
  <c r="AO111" i="13"/>
  <c r="AO110" i="13"/>
  <c r="AO109" i="13"/>
  <c r="AO108" i="13"/>
  <c r="AO107" i="13"/>
  <c r="AO106" i="13"/>
  <c r="AO105" i="13"/>
  <c r="AO104" i="13"/>
  <c r="AO103" i="13"/>
  <c r="AO102" i="13"/>
  <c r="AJ101" i="13"/>
  <c r="AJ212" i="13" s="1"/>
  <c r="AO100" i="13"/>
  <c r="AO99" i="13"/>
  <c r="AO98" i="13"/>
  <c r="AO97" i="13"/>
  <c r="AO96" i="13"/>
  <c r="AO95" i="13"/>
  <c r="AO94" i="13"/>
  <c r="AO93" i="13"/>
  <c r="AO92" i="13"/>
  <c r="AO91" i="13"/>
  <c r="AO90" i="13"/>
  <c r="AO89" i="13"/>
  <c r="AO88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12" i="13"/>
  <c r="AO11" i="13"/>
  <c r="AO10" i="13"/>
  <c r="AO9" i="13"/>
  <c r="AO8" i="13"/>
  <c r="AO7" i="13"/>
  <c r="AO6" i="13"/>
  <c r="AO5" i="13"/>
  <c r="AO4" i="13"/>
  <c r="AO3" i="13"/>
  <c r="AC263" i="13"/>
  <c r="AH262" i="13"/>
  <c r="AH261" i="13"/>
  <c r="AH260" i="13"/>
  <c r="AH259" i="13"/>
  <c r="AH258" i="13"/>
  <c r="AH257" i="13"/>
  <c r="AH256" i="13"/>
  <c r="AH255" i="13"/>
  <c r="AH254" i="13"/>
  <c r="AH253" i="13"/>
  <c r="AH252" i="13"/>
  <c r="AH251" i="13"/>
  <c r="AH250" i="13"/>
  <c r="AH249" i="13"/>
  <c r="AH248" i="13"/>
  <c r="AH247" i="13"/>
  <c r="AH246" i="13"/>
  <c r="AH245" i="13"/>
  <c r="AH244" i="13"/>
  <c r="AH243" i="13"/>
  <c r="AH242" i="13"/>
  <c r="AH241" i="13"/>
  <c r="AH240" i="13"/>
  <c r="AH239" i="13"/>
  <c r="AH238" i="13"/>
  <c r="AH237" i="13"/>
  <c r="AH236" i="13"/>
  <c r="AH235" i="13"/>
  <c r="AH234" i="13"/>
  <c r="AH233" i="13"/>
  <c r="AH232" i="13"/>
  <c r="AH231" i="13"/>
  <c r="AH230" i="13"/>
  <c r="AH229" i="13"/>
  <c r="AH228" i="13"/>
  <c r="AH227" i="13"/>
  <c r="AH226" i="13"/>
  <c r="AH225" i="13"/>
  <c r="AH224" i="13"/>
  <c r="AH223" i="13"/>
  <c r="AH222" i="13"/>
  <c r="AH221" i="13"/>
  <c r="AH220" i="13"/>
  <c r="AH219" i="13"/>
  <c r="AH218" i="13"/>
  <c r="AH217" i="13"/>
  <c r="AH216" i="13"/>
  <c r="AH215" i="13"/>
  <c r="AH214" i="13"/>
  <c r="AH213" i="13"/>
  <c r="AH211" i="13"/>
  <c r="AH210" i="13"/>
  <c r="AH209" i="13"/>
  <c r="AH208" i="13"/>
  <c r="AH207" i="13"/>
  <c r="AH206" i="13"/>
  <c r="AH205" i="13"/>
  <c r="AH204" i="13"/>
  <c r="AH143" i="13"/>
  <c r="AH142" i="13"/>
  <c r="AH141" i="13"/>
  <c r="AH140" i="13"/>
  <c r="AH139" i="13"/>
  <c r="AH138" i="13"/>
  <c r="AH137" i="13"/>
  <c r="AH136" i="13"/>
  <c r="AH135" i="13"/>
  <c r="AH134" i="13"/>
  <c r="AH133" i="13"/>
  <c r="AH132" i="13"/>
  <c r="AH131" i="13"/>
  <c r="AH130" i="13"/>
  <c r="AH129" i="13"/>
  <c r="AH128" i="13"/>
  <c r="AH127" i="13"/>
  <c r="AH126" i="13"/>
  <c r="AH125" i="13"/>
  <c r="AH124" i="13"/>
  <c r="AH123" i="13"/>
  <c r="AH122" i="13"/>
  <c r="AH121" i="13"/>
  <c r="AH120" i="13"/>
  <c r="AH119" i="13"/>
  <c r="AH118" i="13"/>
  <c r="AH113" i="13"/>
  <c r="AH112" i="13"/>
  <c r="AH111" i="13"/>
  <c r="AH110" i="13"/>
  <c r="AH109" i="13"/>
  <c r="AH107" i="13"/>
  <c r="AH106" i="13"/>
  <c r="AH105" i="13"/>
  <c r="AH104" i="13"/>
  <c r="AH103" i="13"/>
  <c r="AH102" i="13"/>
  <c r="AC101" i="13"/>
  <c r="AC212" i="13" s="1"/>
  <c r="AH100" i="13"/>
  <c r="AH99" i="13"/>
  <c r="AH98" i="13"/>
  <c r="AH97" i="13"/>
  <c r="AH96" i="13"/>
  <c r="AH95" i="13"/>
  <c r="AH94" i="13"/>
  <c r="AH93" i="13"/>
  <c r="AH92" i="13"/>
  <c r="AH91" i="13"/>
  <c r="AH90" i="13"/>
  <c r="AH89" i="13"/>
  <c r="AH88" i="13"/>
  <c r="AH39" i="13"/>
  <c r="AH38" i="13"/>
  <c r="AH37" i="13"/>
  <c r="AH36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17" i="13"/>
  <c r="AH16" i="13"/>
  <c r="AH14" i="13"/>
  <c r="AH13" i="13"/>
  <c r="AH12" i="13"/>
  <c r="AH11" i="13"/>
  <c r="AH9" i="13"/>
  <c r="AH8" i="13"/>
  <c r="AH7" i="13"/>
  <c r="AH6" i="13"/>
  <c r="AH5" i="13"/>
  <c r="AH4" i="13"/>
  <c r="AH3" i="13"/>
  <c r="V101" i="13"/>
  <c r="V212" i="13" s="1"/>
  <c r="AA262" i="13"/>
  <c r="AA261" i="13"/>
  <c r="AA260" i="13"/>
  <c r="AA259" i="13"/>
  <c r="AA258" i="13"/>
  <c r="AA257" i="13"/>
  <c r="AA256" i="13"/>
  <c r="AA255" i="13"/>
  <c r="AA254" i="13"/>
  <c r="AA253" i="13"/>
  <c r="AA252" i="13"/>
  <c r="AA251" i="13"/>
  <c r="AA250" i="13"/>
  <c r="AA249" i="13"/>
  <c r="AA248" i="13"/>
  <c r="AA247" i="13"/>
  <c r="AA246" i="13"/>
  <c r="AA245" i="13"/>
  <c r="AA244" i="13"/>
  <c r="AA243" i="13"/>
  <c r="AA242" i="13"/>
  <c r="AA241" i="13"/>
  <c r="AA240" i="13"/>
  <c r="AA239" i="13"/>
  <c r="AA238" i="13"/>
  <c r="AA237" i="13"/>
  <c r="AA236" i="13"/>
  <c r="AA235" i="13"/>
  <c r="AA234" i="13"/>
  <c r="AA233" i="13"/>
  <c r="AA232" i="13"/>
  <c r="AA231" i="13"/>
  <c r="AA230" i="13"/>
  <c r="AA229" i="13"/>
  <c r="AA228" i="13"/>
  <c r="AA227" i="13"/>
  <c r="AA226" i="13"/>
  <c r="AA224" i="13"/>
  <c r="AA223" i="13"/>
  <c r="AA222" i="13"/>
  <c r="AA221" i="13"/>
  <c r="AA220" i="13"/>
  <c r="AA219" i="13"/>
  <c r="AA218" i="13"/>
  <c r="AA217" i="13"/>
  <c r="AA216" i="13"/>
  <c r="AA215" i="13"/>
  <c r="AA214" i="13"/>
  <c r="AA213" i="13"/>
  <c r="AA211" i="13"/>
  <c r="AA210" i="13"/>
  <c r="AA209" i="13"/>
  <c r="AA208" i="13"/>
  <c r="AA207" i="13"/>
  <c r="AA206" i="13"/>
  <c r="AA205" i="13"/>
  <c r="AA204" i="13"/>
  <c r="AA143" i="13"/>
  <c r="AA142" i="13"/>
  <c r="AA141" i="13"/>
  <c r="AA140" i="13"/>
  <c r="AA139" i="13"/>
  <c r="AA138" i="13"/>
  <c r="AA137" i="13"/>
  <c r="AA136" i="13"/>
  <c r="AA135" i="13"/>
  <c r="AA133" i="13"/>
  <c r="AA132" i="13"/>
  <c r="AA131" i="13"/>
  <c r="AA130" i="13"/>
  <c r="AA129" i="13"/>
  <c r="AA127" i="13"/>
  <c r="AA126" i="13"/>
  <c r="AA125" i="13"/>
  <c r="AA124" i="13"/>
  <c r="AA123" i="13"/>
  <c r="AA122" i="13"/>
  <c r="AA116" i="13"/>
  <c r="AA114" i="13"/>
  <c r="AA113" i="13"/>
  <c r="AA112" i="13"/>
  <c r="AA111" i="13"/>
  <c r="AA110" i="13"/>
  <c r="AA107" i="13"/>
  <c r="AA106" i="13"/>
  <c r="Q11" i="13"/>
  <c r="Q10" i="13"/>
  <c r="BB18" i="13" s="1"/>
  <c r="BC18" i="13" s="1"/>
  <c r="Q13" i="13"/>
  <c r="Q9" i="13"/>
  <c r="AN226" i="13" s="1"/>
  <c r="AO226" i="13" s="1"/>
  <c r="Q12" i="13"/>
  <c r="Q8" i="13"/>
  <c r="DF9" i="13" s="1"/>
  <c r="DG9" i="13" s="1"/>
  <c r="Q7" i="13"/>
  <c r="Z54" i="13" s="1"/>
  <c r="AA54" i="13" s="1"/>
  <c r="Q6" i="13"/>
  <c r="Z154" i="13" s="1"/>
  <c r="AA154" i="13" s="1"/>
  <c r="Q5" i="13"/>
  <c r="Q4" i="13"/>
  <c r="AG116" i="13" s="1"/>
  <c r="AH116" i="13" s="1"/>
  <c r="Q3" i="13"/>
  <c r="AG20" i="13" s="1"/>
  <c r="AH20" i="13" s="1"/>
  <c r="Q2" i="13"/>
  <c r="Z10" i="13" s="1"/>
  <c r="Q1" i="13"/>
  <c r="BI111" i="13" s="1"/>
  <c r="BJ111" i="13" s="1"/>
  <c r="K15" i="13"/>
  <c r="AG115" i="13" s="1"/>
  <c r="AH115" i="13" s="1"/>
  <c r="K17" i="13"/>
  <c r="Z15" i="13" s="1"/>
  <c r="K16" i="13"/>
  <c r="BB15" i="13" s="1"/>
  <c r="BC15" i="13" s="1"/>
  <c r="K14" i="13"/>
  <c r="Z58" i="13" s="1"/>
  <c r="AA58" i="13" s="1"/>
  <c r="K13" i="13"/>
  <c r="BI3" i="13" s="1"/>
  <c r="BJ3" i="13" s="1"/>
  <c r="K12" i="13"/>
  <c r="Z179" i="13" s="1"/>
  <c r="AA179" i="13" s="1"/>
  <c r="K11" i="13"/>
  <c r="Z225" i="13" s="1"/>
  <c r="AA225" i="13" s="1"/>
  <c r="K10" i="13"/>
  <c r="AN229" i="13" s="1"/>
  <c r="AO229" i="13" s="1"/>
  <c r="K9" i="13"/>
  <c r="K8" i="13"/>
  <c r="BI103" i="13" s="1"/>
  <c r="BJ103" i="13" s="1"/>
  <c r="K7" i="13"/>
  <c r="K6" i="13"/>
  <c r="K5" i="13"/>
  <c r="Z23" i="13" s="1"/>
  <c r="K4" i="13"/>
  <c r="Z34" i="13" s="1"/>
  <c r="K3" i="13"/>
  <c r="CD3" i="13" s="1"/>
  <c r="CE3" i="13" s="1"/>
  <c r="K2" i="13"/>
  <c r="BI13" i="13" s="1"/>
  <c r="BJ13" i="13" s="1"/>
  <c r="K1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6" i="12"/>
  <c r="D26" i="12"/>
  <c r="I57" i="12"/>
  <c r="L57" i="12" s="1"/>
  <c r="A57" i="12"/>
  <c r="B151" i="17" s="1"/>
  <c r="I56" i="12"/>
  <c r="L56" i="12" s="1"/>
  <c r="A56" i="12"/>
  <c r="B150" i="17" s="1"/>
  <c r="I55" i="12"/>
  <c r="L55" i="12" s="1"/>
  <c r="A55" i="12"/>
  <c r="B149" i="17" s="1"/>
  <c r="I53" i="12"/>
  <c r="L53" i="12" s="1"/>
  <c r="A53" i="12"/>
  <c r="B147" i="17" s="1"/>
  <c r="I52" i="12"/>
  <c r="L52" i="12" s="1"/>
  <c r="I51" i="12"/>
  <c r="L51" i="12" s="1"/>
  <c r="I49" i="12"/>
  <c r="L49" i="12" s="1"/>
  <c r="I48" i="12"/>
  <c r="L48" i="12" s="1"/>
  <c r="BA44" i="12"/>
  <c r="BE44" i="12" s="1"/>
  <c r="AW44" i="12"/>
  <c r="AV44" i="12"/>
  <c r="AU44" i="12"/>
  <c r="AK44" i="12"/>
  <c r="AO44" i="12" s="1"/>
  <c r="AJ44" i="12"/>
  <c r="AN44" i="12" s="1"/>
  <c r="AI44" i="12"/>
  <c r="Y44" i="12" s="1"/>
  <c r="AC44" i="12" s="1"/>
  <c r="AB44" i="12"/>
  <c r="AD44" i="12" s="1"/>
  <c r="P44" i="12"/>
  <c r="O44" i="12"/>
  <c r="BF44" i="12" s="1"/>
  <c r="I44" i="12"/>
  <c r="A44" i="12"/>
  <c r="B136" i="17" s="1"/>
  <c r="I43" i="12"/>
  <c r="A43" i="12"/>
  <c r="B135" i="17" s="1"/>
  <c r="I42" i="12"/>
  <c r="A42" i="12"/>
  <c r="B134" i="17" s="1"/>
  <c r="I41" i="12"/>
  <c r="A41" i="12"/>
  <c r="B133" i="17" s="1"/>
  <c r="BB102" i="13" l="1"/>
  <c r="BC102" i="13" s="1"/>
  <c r="BB17" i="13"/>
  <c r="BC17" i="13" s="1"/>
  <c r="BB22" i="13"/>
  <c r="BC22" i="13" s="1"/>
  <c r="AY44" i="12"/>
  <c r="BB106" i="13"/>
  <c r="BC106" i="13" s="1"/>
  <c r="CK213" i="13"/>
  <c r="CL213" i="13" s="1"/>
  <c r="CL263" i="13" s="1"/>
  <c r="BI107" i="13"/>
  <c r="BJ107" i="13" s="1"/>
  <c r="CY102" i="13"/>
  <c r="CZ102" i="13" s="1"/>
  <c r="CZ263" i="13" s="1"/>
  <c r="Z18" i="13"/>
  <c r="Z53" i="13"/>
  <c r="AA53" i="13" s="1"/>
  <c r="Z79" i="13"/>
  <c r="AA79" i="13" s="1"/>
  <c r="Z105" i="13"/>
  <c r="AA105" i="13" s="1"/>
  <c r="Z117" i="13"/>
  <c r="AA117" i="13" s="1"/>
  <c r="Z121" i="13"/>
  <c r="AA121" i="13" s="1"/>
  <c r="Z158" i="13"/>
  <c r="AA158" i="13" s="1"/>
  <c r="Z166" i="13"/>
  <c r="AA166" i="13" s="1"/>
  <c r="Z186" i="13"/>
  <c r="AA186" i="13" s="1"/>
  <c r="AG15" i="13"/>
  <c r="AH15" i="13" s="1"/>
  <c r="AG108" i="13"/>
  <c r="AH108" i="13" s="1"/>
  <c r="AG117" i="13"/>
  <c r="AH117" i="13" s="1"/>
  <c r="AN220" i="13"/>
  <c r="AO220" i="13" s="1"/>
  <c r="BB14" i="13"/>
  <c r="BC14" i="13" s="1"/>
  <c r="BB19" i="13"/>
  <c r="BC19" i="13" s="1"/>
  <c r="BB103" i="13"/>
  <c r="BC103" i="13" s="1"/>
  <c r="BB213" i="13"/>
  <c r="BC213" i="13" s="1"/>
  <c r="BI6" i="13"/>
  <c r="BJ6" i="13" s="1"/>
  <c r="BI10" i="13"/>
  <c r="BJ10" i="13" s="1"/>
  <c r="BI14" i="13"/>
  <c r="BJ14" i="13" s="1"/>
  <c r="BI104" i="13"/>
  <c r="BJ104" i="13" s="1"/>
  <c r="BI108" i="13"/>
  <c r="BJ108" i="13" s="1"/>
  <c r="BP4" i="13"/>
  <c r="BQ4" i="13" s="1"/>
  <c r="BQ263" i="13" s="1"/>
  <c r="V38" i="14" s="1"/>
  <c r="CD4" i="13"/>
  <c r="CE4" i="13" s="1"/>
  <c r="CE263" i="13" s="1"/>
  <c r="X38" i="14" s="1"/>
  <c r="CR213" i="13"/>
  <c r="CS213" i="13" s="1"/>
  <c r="DF11" i="13"/>
  <c r="DG11" i="13" s="1"/>
  <c r="DG263" i="13" s="1"/>
  <c r="Z35" i="13"/>
  <c r="Z3" i="13"/>
  <c r="Z22" i="13"/>
  <c r="Z60" i="13"/>
  <c r="AA60" i="13" s="1"/>
  <c r="Z102" i="13"/>
  <c r="AA102" i="13" s="1"/>
  <c r="Z108" i="13"/>
  <c r="AA108" i="13" s="1"/>
  <c r="Z118" i="13"/>
  <c r="AA118" i="13" s="1"/>
  <c r="Z128" i="13"/>
  <c r="AA128" i="13" s="1"/>
  <c r="Z163" i="13"/>
  <c r="AA163" i="13" s="1"/>
  <c r="Z167" i="13"/>
  <c r="AA167" i="13" s="1"/>
  <c r="Z187" i="13"/>
  <c r="AA187" i="13" s="1"/>
  <c r="AG18" i="13"/>
  <c r="AH18" i="13" s="1"/>
  <c r="AG114" i="13"/>
  <c r="AH114" i="13" s="1"/>
  <c r="AN213" i="13"/>
  <c r="AO213" i="13" s="1"/>
  <c r="AO263" i="13" s="1"/>
  <c r="S38" i="14" s="1"/>
  <c r="AN223" i="13"/>
  <c r="AO223" i="13" s="1"/>
  <c r="BB104" i="13"/>
  <c r="BC104" i="13" s="1"/>
  <c r="BB214" i="13"/>
  <c r="BC214" i="13" s="1"/>
  <c r="BI7" i="13"/>
  <c r="BJ7" i="13" s="1"/>
  <c r="BI11" i="13"/>
  <c r="BJ11" i="13" s="1"/>
  <c r="BI15" i="13"/>
  <c r="BJ15" i="13" s="1"/>
  <c r="BI105" i="13"/>
  <c r="BJ105" i="13" s="1"/>
  <c r="BI109" i="13"/>
  <c r="BJ109" i="13" s="1"/>
  <c r="BP102" i="13"/>
  <c r="BQ102" i="13" s="1"/>
  <c r="CD102" i="13"/>
  <c r="CE102" i="13" s="1"/>
  <c r="CR214" i="13"/>
  <c r="CS214" i="13" s="1"/>
  <c r="CS263" i="13" s="1"/>
  <c r="Z32" i="13"/>
  <c r="Z36" i="13"/>
  <c r="Z55" i="13"/>
  <c r="AA55" i="13" s="1"/>
  <c r="Z77" i="13"/>
  <c r="AA77" i="13" s="1"/>
  <c r="Z103" i="13"/>
  <c r="AA103" i="13" s="1"/>
  <c r="Z109" i="13"/>
  <c r="AA109" i="13" s="1"/>
  <c r="Z119" i="13"/>
  <c r="AA119" i="13" s="1"/>
  <c r="Z134" i="13"/>
  <c r="AA134" i="13" s="1"/>
  <c r="Z164" i="13"/>
  <c r="AA164" i="13" s="1"/>
  <c r="Z178" i="13"/>
  <c r="AA178" i="13" s="1"/>
  <c r="AG19" i="13"/>
  <c r="AH19" i="13" s="1"/>
  <c r="AN216" i="13"/>
  <c r="AO216" i="13" s="1"/>
  <c r="BB23" i="13"/>
  <c r="BC23" i="13" s="1"/>
  <c r="BB105" i="13"/>
  <c r="BC105" i="13" s="1"/>
  <c r="BI8" i="13"/>
  <c r="BJ8" i="13" s="1"/>
  <c r="BI12" i="13"/>
  <c r="BJ12" i="13" s="1"/>
  <c r="BI102" i="13"/>
  <c r="BJ102" i="13" s="1"/>
  <c r="BI106" i="13"/>
  <c r="BJ106" i="13" s="1"/>
  <c r="BP103" i="13"/>
  <c r="BQ103" i="13" s="1"/>
  <c r="CD103" i="13"/>
  <c r="CE103" i="13" s="1"/>
  <c r="Z33" i="13"/>
  <c r="S263" i="13"/>
  <c r="Z49" i="13"/>
  <c r="AA49" i="13" s="1"/>
  <c r="Z57" i="13"/>
  <c r="AA57" i="13" s="1"/>
  <c r="Z78" i="13"/>
  <c r="AA78" i="13" s="1"/>
  <c r="Z104" i="13"/>
  <c r="AA104" i="13" s="1"/>
  <c r="Z115" i="13"/>
  <c r="AA115" i="13" s="1"/>
  <c r="Z120" i="13"/>
  <c r="AA120" i="13" s="1"/>
  <c r="Z165" i="13"/>
  <c r="AA165" i="13" s="1"/>
  <c r="AG10" i="13"/>
  <c r="AH10" i="13" s="1"/>
  <c r="AN218" i="13"/>
  <c r="AO218" i="13" s="1"/>
  <c r="BI4" i="13"/>
  <c r="BJ4" i="13" s="1"/>
  <c r="BJ263" i="13" s="1"/>
  <c r="BI9" i="13"/>
  <c r="BJ9" i="13" s="1"/>
  <c r="BP3" i="13"/>
  <c r="BQ3" i="13" s="1"/>
  <c r="DN263" i="13"/>
  <c r="AV263" i="13"/>
  <c r="T38" i="14" s="1"/>
  <c r="T263" i="13"/>
  <c r="BX263" i="13"/>
  <c r="AQ44" i="12"/>
  <c r="AP44" i="12"/>
  <c r="AX44" i="12"/>
  <c r="BI44" i="12"/>
  <c r="BJ44" i="12"/>
  <c r="BD44" i="12"/>
  <c r="S44" i="12"/>
  <c r="T44" i="12"/>
  <c r="AH263" i="13" l="1"/>
  <c r="R38" i="14" s="1"/>
  <c r="W38" i="14"/>
  <c r="BC263" i="13"/>
  <c r="AE38" i="14" s="1"/>
  <c r="AD38" i="14"/>
  <c r="P38" i="14"/>
  <c r="P47" i="14" s="1"/>
  <c r="C37" i="17" s="1"/>
  <c r="BK44" i="12"/>
  <c r="BM44" i="12" s="1"/>
  <c r="BN44" i="12" s="1"/>
  <c r="BL44" i="12"/>
  <c r="BO44" i="12" s="1"/>
  <c r="K44" i="12" s="1"/>
  <c r="G136" i="17" s="1"/>
  <c r="H136" i="17" s="1"/>
  <c r="U38" i="14" l="1"/>
  <c r="H37" i="17"/>
  <c r="F37" i="17"/>
  <c r="I37" i="17" s="1"/>
  <c r="BP44" i="12"/>
  <c r="J44" i="12"/>
  <c r="E136" i="17" s="1"/>
  <c r="F136" i="17" s="1"/>
  <c r="I136" i="17" s="1"/>
  <c r="I40" i="12" l="1"/>
  <c r="L40" i="12" s="1"/>
  <c r="A40" i="12"/>
  <c r="B132" i="17" s="1"/>
  <c r="BA38" i="12"/>
  <c r="BE38" i="12" s="1"/>
  <c r="AW38" i="12"/>
  <c r="AV38" i="12"/>
  <c r="AU38" i="12"/>
  <c r="AK38" i="12"/>
  <c r="AO38" i="12" s="1"/>
  <c r="AJ38" i="12"/>
  <c r="AN38" i="12" s="1"/>
  <c r="AI38" i="12"/>
  <c r="Y38" i="12" s="1"/>
  <c r="AC38" i="12" s="1"/>
  <c r="AB38" i="12"/>
  <c r="AD38" i="12" s="1"/>
  <c r="P38" i="12"/>
  <c r="O38" i="12"/>
  <c r="BF38" i="12" s="1"/>
  <c r="I38" i="12"/>
  <c r="A38" i="12"/>
  <c r="B130" i="17" s="1"/>
  <c r="BA36" i="12"/>
  <c r="BE36" i="12" s="1"/>
  <c r="AW36" i="12"/>
  <c r="AV36" i="12"/>
  <c r="AU36" i="12"/>
  <c r="AK36" i="12"/>
  <c r="AO36" i="12" s="1"/>
  <c r="AJ36" i="12"/>
  <c r="AN36" i="12" s="1"/>
  <c r="AI36" i="12"/>
  <c r="Y36" i="12" s="1"/>
  <c r="AC36" i="12" s="1"/>
  <c r="AB36" i="12"/>
  <c r="AD36" i="12" s="1"/>
  <c r="P36" i="12"/>
  <c r="O36" i="12"/>
  <c r="BF36" i="12" s="1"/>
  <c r="I36" i="12"/>
  <c r="A36" i="12"/>
  <c r="B128" i="17" s="1"/>
  <c r="O33" i="12"/>
  <c r="P33" i="12"/>
  <c r="P30" i="12"/>
  <c r="O30" i="12"/>
  <c r="BA33" i="12"/>
  <c r="BE33" i="12" s="1"/>
  <c r="AW33" i="12"/>
  <c r="AV33" i="12"/>
  <c r="AU33" i="12"/>
  <c r="AM33" i="12"/>
  <c r="AL33" i="12"/>
  <c r="AI33" i="12"/>
  <c r="AB33" i="12"/>
  <c r="AD33" i="12" s="1"/>
  <c r="I33" i="12"/>
  <c r="A33" i="12"/>
  <c r="B125" i="17" s="1"/>
  <c r="AW30" i="12"/>
  <c r="AV30" i="12"/>
  <c r="AU30" i="12"/>
  <c r="AM29" i="12"/>
  <c r="AL29" i="12"/>
  <c r="AM30" i="12"/>
  <c r="AL30" i="12"/>
  <c r="AB30" i="12"/>
  <c r="AD30" i="12" s="1"/>
  <c r="BA30" i="12"/>
  <c r="BE30" i="12" s="1"/>
  <c r="AI30" i="12"/>
  <c r="I30" i="12"/>
  <c r="A30" i="12"/>
  <c r="B122" i="17" s="1"/>
  <c r="F39" i="12" l="1"/>
  <c r="C131" i="17" s="1"/>
  <c r="AN30" i="12"/>
  <c r="AX30" i="12"/>
  <c r="AX33" i="12"/>
  <c r="AX38" i="12"/>
  <c r="T30" i="12"/>
  <c r="AQ36" i="12"/>
  <c r="AY38" i="12"/>
  <c r="T33" i="12"/>
  <c r="AO33" i="12"/>
  <c r="AQ33" i="12" s="1"/>
  <c r="AP36" i="12"/>
  <c r="AX36" i="12"/>
  <c r="AQ38" i="12"/>
  <c r="AP38" i="12"/>
  <c r="BI38" i="12"/>
  <c r="BJ38" i="12"/>
  <c r="Y30" i="12"/>
  <c r="AC30" i="12" s="1"/>
  <c r="AP30" i="12" s="1"/>
  <c r="Y33" i="12"/>
  <c r="AC33" i="12" s="1"/>
  <c r="BF33" i="12"/>
  <c r="BJ33" i="12" s="1"/>
  <c r="BD38" i="12"/>
  <c r="AY36" i="12"/>
  <c r="S38" i="12"/>
  <c r="AN33" i="12"/>
  <c r="T38" i="12"/>
  <c r="BL38" i="12" s="1"/>
  <c r="BO38" i="12" s="1"/>
  <c r="K38" i="12" s="1"/>
  <c r="G130" i="17" s="1"/>
  <c r="H130" i="17" s="1"/>
  <c r="BJ36" i="12"/>
  <c r="BI36" i="12"/>
  <c r="BD36" i="12"/>
  <c r="S36" i="12"/>
  <c r="T36" i="12"/>
  <c r="S33" i="12"/>
  <c r="S30" i="12"/>
  <c r="BF30" i="12"/>
  <c r="BI30" i="12" s="1"/>
  <c r="AY33" i="12"/>
  <c r="BD33" i="12"/>
  <c r="AY30" i="12"/>
  <c r="AO30" i="12"/>
  <c r="AQ30" i="12" s="1"/>
  <c r="BD30" i="12"/>
  <c r="AY29" i="12"/>
  <c r="AI29" i="12"/>
  <c r="AN29" i="12" s="1"/>
  <c r="BA29" i="12"/>
  <c r="BD29" i="12" s="1"/>
  <c r="AU29" i="12"/>
  <c r="AX29" i="12" s="1"/>
  <c r="AB29" i="12"/>
  <c r="AD29" i="12" s="1"/>
  <c r="P29" i="12"/>
  <c r="O29" i="12"/>
  <c r="I29" i="12"/>
  <c r="A29" i="12"/>
  <c r="B121" i="17" s="1"/>
  <c r="G31" i="9"/>
  <c r="F31" i="9"/>
  <c r="G30" i="9"/>
  <c r="F30" i="9"/>
  <c r="G27" i="9"/>
  <c r="G28" i="9" s="1"/>
  <c r="G29" i="9" s="1"/>
  <c r="F27" i="9"/>
  <c r="F28" i="9" s="1"/>
  <c r="F29" i="9" s="1"/>
  <c r="G25" i="9"/>
  <c r="F25" i="9"/>
  <c r="G24" i="9"/>
  <c r="G19" i="9"/>
  <c r="F19" i="9"/>
  <c r="G18" i="9"/>
  <c r="F18" i="9"/>
  <c r="G17" i="9"/>
  <c r="F17" i="9"/>
  <c r="G16" i="9"/>
  <c r="F16" i="9"/>
  <c r="G15" i="9"/>
  <c r="F15" i="9"/>
  <c r="G11" i="9"/>
  <c r="G12" i="9" s="1"/>
  <c r="F11" i="9"/>
  <c r="F12" i="9" s="1"/>
  <c r="G10" i="9"/>
  <c r="F10" i="9"/>
  <c r="D25" i="9"/>
  <c r="K21" i="9"/>
  <c r="E167" i="17" s="1"/>
  <c r="H21" i="9"/>
  <c r="E21" i="9"/>
  <c r="K20" i="9"/>
  <c r="E166" i="17" s="1"/>
  <c r="C25" i="9"/>
  <c r="F18" i="14"/>
  <c r="C86" i="17" s="1"/>
  <c r="F17" i="14"/>
  <c r="C81" i="17" s="1"/>
  <c r="AF18" i="14"/>
  <c r="O18" i="14"/>
  <c r="AL36" i="14"/>
  <c r="AL47" i="14" s="1"/>
  <c r="AH36" i="14"/>
  <c r="AH47" i="14" s="1"/>
  <c r="C187" i="17" s="1"/>
  <c r="F20" i="14"/>
  <c r="C91" i="17" s="1"/>
  <c r="F21" i="14"/>
  <c r="C96" i="17" s="1"/>
  <c r="F22" i="14"/>
  <c r="C101" i="17" s="1"/>
  <c r="N19" i="14"/>
  <c r="N47" i="14" s="1"/>
  <c r="C27" i="17" s="1"/>
  <c r="F15" i="14"/>
  <c r="C55" i="17" s="1"/>
  <c r="I47" i="14"/>
  <c r="C23" i="17" s="1"/>
  <c r="G47" i="14"/>
  <c r="C21" i="17" s="1"/>
  <c r="D47" i="14"/>
  <c r="C18" i="17" s="1"/>
  <c r="C47" i="14"/>
  <c r="C17" i="17" s="1"/>
  <c r="AF36" i="14"/>
  <c r="O36" i="14"/>
  <c r="AF35" i="14"/>
  <c r="O35" i="14"/>
  <c r="AF34" i="14"/>
  <c r="O34" i="14"/>
  <c r="AF33" i="14"/>
  <c r="O33" i="14"/>
  <c r="O37" i="14"/>
  <c r="AF37" i="14"/>
  <c r="O46" i="14"/>
  <c r="O45" i="14"/>
  <c r="O44" i="14"/>
  <c r="O43" i="14"/>
  <c r="O42" i="14"/>
  <c r="O41" i="14"/>
  <c r="O40" i="14"/>
  <c r="O39" i="14"/>
  <c r="O38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7" i="14"/>
  <c r="O16" i="14"/>
  <c r="O15" i="14"/>
  <c r="O14" i="14"/>
  <c r="O13" i="14"/>
  <c r="O12" i="14"/>
  <c r="AF46" i="14"/>
  <c r="AF45" i="14"/>
  <c r="AF44" i="14"/>
  <c r="AF43" i="14"/>
  <c r="AF42" i="14"/>
  <c r="AF41" i="14"/>
  <c r="AF40" i="14"/>
  <c r="AF39" i="14"/>
  <c r="AF38" i="14"/>
  <c r="AF32" i="14"/>
  <c r="AF31" i="14"/>
  <c r="AF30" i="14"/>
  <c r="AF29" i="14"/>
  <c r="AF28" i="14"/>
  <c r="AF27" i="14"/>
  <c r="AF25" i="14"/>
  <c r="AF24" i="14"/>
  <c r="AF23" i="14"/>
  <c r="AF22" i="14"/>
  <c r="AF21" i="14"/>
  <c r="AF20" i="14"/>
  <c r="AF19" i="14"/>
  <c r="AF17" i="14"/>
  <c r="AF16" i="14"/>
  <c r="AF15" i="14"/>
  <c r="AF14" i="14"/>
  <c r="AF13" i="14"/>
  <c r="AB47" i="14"/>
  <c r="C49" i="17" s="1"/>
  <c r="S47" i="14"/>
  <c r="C34" i="17" s="1"/>
  <c r="L47" i="14"/>
  <c r="C26" i="17" s="1"/>
  <c r="H47" i="14"/>
  <c r="C22" i="17" s="1"/>
  <c r="E47" i="14"/>
  <c r="C19" i="17" s="1"/>
  <c r="A6" i="14"/>
  <c r="A5" i="14"/>
  <c r="A4" i="14"/>
  <c r="A3" i="14"/>
  <c r="C64" i="14"/>
  <c r="C62" i="14"/>
  <c r="C61" i="14"/>
  <c r="C63" i="14" s="1"/>
  <c r="AK47" i="14"/>
  <c r="C190" i="17" s="1"/>
  <c r="AJ47" i="14"/>
  <c r="C189" i="17" s="1"/>
  <c r="AG47" i="14"/>
  <c r="C183" i="17" s="1"/>
  <c r="Z47" i="14"/>
  <c r="C47" i="17" s="1"/>
  <c r="Y47" i="14"/>
  <c r="W47" i="14"/>
  <c r="C42" i="17" s="1"/>
  <c r="V47" i="14"/>
  <c r="C41" i="17" s="1"/>
  <c r="T47" i="14"/>
  <c r="C35" i="17" s="1"/>
  <c r="R47" i="14"/>
  <c r="C33" i="17" s="1"/>
  <c r="K47" i="14"/>
  <c r="C25" i="17" s="1"/>
  <c r="J47" i="14"/>
  <c r="C24" i="17" s="1"/>
  <c r="AA47" i="14"/>
  <c r="C48" i="17" s="1"/>
  <c r="F22" i="17" l="1"/>
  <c r="H22" i="17"/>
  <c r="I22" i="17" s="1"/>
  <c r="H42" i="17"/>
  <c r="F42" i="17"/>
  <c r="F49" i="17"/>
  <c r="H49" i="17"/>
  <c r="H27" i="17"/>
  <c r="F27" i="17"/>
  <c r="F41" i="17"/>
  <c r="H41" i="17"/>
  <c r="I41" i="17" s="1"/>
  <c r="H23" i="17"/>
  <c r="F23" i="17"/>
  <c r="H34" i="17"/>
  <c r="F34" i="17"/>
  <c r="H48" i="17"/>
  <c r="F48" i="17"/>
  <c r="H47" i="17"/>
  <c r="F47" i="17"/>
  <c r="I47" i="17" s="1"/>
  <c r="F24" i="17"/>
  <c r="H24" i="17"/>
  <c r="F183" i="17"/>
  <c r="H183" i="17"/>
  <c r="F26" i="17"/>
  <c r="H26" i="17"/>
  <c r="H189" i="17"/>
  <c r="F189" i="17"/>
  <c r="H17" i="17"/>
  <c r="F17" i="17"/>
  <c r="C36" i="17"/>
  <c r="F35" i="17"/>
  <c r="H35" i="17"/>
  <c r="I35" i="17" s="1"/>
  <c r="H21" i="17"/>
  <c r="F21" i="17"/>
  <c r="F25" i="17"/>
  <c r="H25" i="17"/>
  <c r="F33" i="17"/>
  <c r="H33" i="17"/>
  <c r="I33" i="17" s="1"/>
  <c r="H190" i="17"/>
  <c r="F190" i="17"/>
  <c r="I190" i="17" s="1"/>
  <c r="H19" i="17"/>
  <c r="F19" i="17"/>
  <c r="F18" i="17"/>
  <c r="H18" i="17"/>
  <c r="I18" i="17" s="1"/>
  <c r="H187" i="17"/>
  <c r="F187" i="17"/>
  <c r="I187" i="17" s="1"/>
  <c r="F131" i="17"/>
  <c r="H131" i="17"/>
  <c r="I131" i="17" s="1"/>
  <c r="C51" i="14"/>
  <c r="F26" i="12"/>
  <c r="M47" i="14"/>
  <c r="AI36" i="14"/>
  <c r="AI47" i="14" s="1"/>
  <c r="C188" i="17" s="1"/>
  <c r="BK36" i="12"/>
  <c r="BM36" i="12" s="1"/>
  <c r="BN36" i="12" s="1"/>
  <c r="BF29" i="12"/>
  <c r="BI29" i="12" s="1"/>
  <c r="Y29" i="12"/>
  <c r="AC29" i="12" s="1"/>
  <c r="AP29" i="12" s="1"/>
  <c r="BL36" i="12"/>
  <c r="BO36" i="12" s="1"/>
  <c r="K36" i="12" s="1"/>
  <c r="G128" i="17" s="1"/>
  <c r="H128" i="17" s="1"/>
  <c r="BK38" i="12"/>
  <c r="AP33" i="12"/>
  <c r="BJ30" i="12"/>
  <c r="BL30" i="12" s="1"/>
  <c r="BO30" i="12" s="1"/>
  <c r="K30" i="12" s="1"/>
  <c r="G122" i="17" s="1"/>
  <c r="H122" i="17" s="1"/>
  <c r="BL33" i="12"/>
  <c r="BO33" i="12" s="1"/>
  <c r="K33" i="12" s="1"/>
  <c r="G125" i="17" s="1"/>
  <c r="H125" i="17" s="1"/>
  <c r="BI33" i="12"/>
  <c r="BK33" i="12" s="1"/>
  <c r="BM33" i="12" s="1"/>
  <c r="BN33" i="12" s="1"/>
  <c r="BK30" i="12"/>
  <c r="BM30" i="12" s="1"/>
  <c r="BN30" i="12" s="1"/>
  <c r="AO29" i="12"/>
  <c r="AQ29" i="12" s="1"/>
  <c r="BE29" i="12"/>
  <c r="S29" i="12"/>
  <c r="T29" i="12"/>
  <c r="I21" i="9"/>
  <c r="C167" i="17" s="1"/>
  <c r="H167" i="17" s="1"/>
  <c r="F47" i="14"/>
  <c r="C20" i="17" s="1"/>
  <c r="X47" i="14"/>
  <c r="C43" i="17" s="1"/>
  <c r="AD47" i="14"/>
  <c r="C180" i="17" s="1"/>
  <c r="O47" i="14"/>
  <c r="C28" i="17" s="1"/>
  <c r="AE47" i="14"/>
  <c r="C181" i="17" s="1"/>
  <c r="AC47" i="14"/>
  <c r="C50" i="17" s="1"/>
  <c r="C56" i="14"/>
  <c r="C52" i="14"/>
  <c r="C55" i="14" s="1"/>
  <c r="C54" i="14"/>
  <c r="U47" i="14"/>
  <c r="C40" i="17" s="1"/>
  <c r="I26" i="17" l="1"/>
  <c r="I17" i="17"/>
  <c r="I24" i="17"/>
  <c r="I23" i="17"/>
  <c r="I48" i="17"/>
  <c r="I27" i="17"/>
  <c r="I183" i="17"/>
  <c r="I49" i="17"/>
  <c r="I25" i="17"/>
  <c r="I19" i="17"/>
  <c r="I21" i="17"/>
  <c r="F20" i="17"/>
  <c r="H20" i="17"/>
  <c r="H40" i="17"/>
  <c r="F40" i="17"/>
  <c r="H188" i="17"/>
  <c r="F188" i="17"/>
  <c r="I34" i="17"/>
  <c r="F50" i="17"/>
  <c r="H50" i="17"/>
  <c r="BJ29" i="12"/>
  <c r="I189" i="17"/>
  <c r="I42" i="17"/>
  <c r="H43" i="17"/>
  <c r="F43" i="17"/>
  <c r="H36" i="17"/>
  <c r="F36" i="17"/>
  <c r="F181" i="17"/>
  <c r="H181" i="17"/>
  <c r="F167" i="17"/>
  <c r="I167" i="17" s="1"/>
  <c r="F28" i="17"/>
  <c r="H28" i="17"/>
  <c r="H180" i="17"/>
  <c r="F180" i="17"/>
  <c r="BM38" i="12"/>
  <c r="BN38" i="12" s="1"/>
  <c r="BP36" i="12"/>
  <c r="J36" i="12"/>
  <c r="E128" i="17" s="1"/>
  <c r="F128" i="17" s="1"/>
  <c r="I128" i="17" s="1"/>
  <c r="J33" i="12"/>
  <c r="E125" i="17" s="1"/>
  <c r="F125" i="17" s="1"/>
  <c r="I125" i="17" s="1"/>
  <c r="BP33" i="12"/>
  <c r="BP30" i="12"/>
  <c r="J30" i="12"/>
  <c r="E122" i="17" s="1"/>
  <c r="F122" i="17" s="1"/>
  <c r="I122" i="17" s="1"/>
  <c r="BK29" i="12"/>
  <c r="BM29" i="12" s="1"/>
  <c r="BN29" i="12" s="1"/>
  <c r="BL29" i="12"/>
  <c r="BO29" i="12" s="1"/>
  <c r="K29" i="12" s="1"/>
  <c r="G121" i="17" s="1"/>
  <c r="H121" i="17" s="1"/>
  <c r="AF47" i="14"/>
  <c r="C182" i="17" s="1"/>
  <c r="C53" i="14"/>
  <c r="I50" i="17" l="1"/>
  <c r="I51" i="17" s="1"/>
  <c r="I28" i="17"/>
  <c r="I181" i="17"/>
  <c r="I180" i="17"/>
  <c r="I20" i="17"/>
  <c r="I40" i="17"/>
  <c r="H182" i="17"/>
  <c r="F182" i="17"/>
  <c r="I36" i="17"/>
  <c r="I43" i="17"/>
  <c r="I188" i="17"/>
  <c r="I191" i="17" s="1"/>
  <c r="BP38" i="12"/>
  <c r="J38" i="12"/>
  <c r="E130" i="17" s="1"/>
  <c r="F130" i="17" s="1"/>
  <c r="I130" i="17" s="1"/>
  <c r="BP29" i="12"/>
  <c r="J29" i="12"/>
  <c r="E121" i="17" s="1"/>
  <c r="F121" i="17" s="1"/>
  <c r="I121" i="17" s="1"/>
  <c r="I182" i="17" l="1"/>
  <c r="I184" i="17" s="1"/>
  <c r="I29" i="17"/>
  <c r="I44" i="17"/>
  <c r="V28" i="6"/>
  <c r="AA34" i="13" l="1"/>
  <c r="AA32" i="13"/>
  <c r="AA30" i="13"/>
  <c r="AA96" i="13"/>
  <c r="AA95" i="13"/>
  <c r="AA94" i="13"/>
  <c r="AA93" i="13"/>
  <c r="AA90" i="13"/>
  <c r="AA89" i="13"/>
  <c r="AA88" i="13"/>
  <c r="AA39" i="13"/>
  <c r="AB212" i="13" l="1"/>
  <c r="AI212" i="13" s="1"/>
  <c r="AB101" i="13"/>
  <c r="AI101" i="13" s="1"/>
  <c r="AB1" i="13"/>
  <c r="AI1" i="13" s="1"/>
  <c r="AW101" i="13" l="1"/>
  <c r="BD101" i="13" s="1"/>
  <c r="BK101" i="13" s="1"/>
  <c r="BR101" i="13" s="1"/>
  <c r="BY101" i="13" s="1"/>
  <c r="CF101" i="13" s="1"/>
  <c r="CM101" i="13" s="1"/>
  <c r="CT101" i="13" s="1"/>
  <c r="DA101" i="13" s="1"/>
  <c r="DH101" i="13" s="1"/>
  <c r="AP101" i="13"/>
  <c r="AW1" i="13"/>
  <c r="BD1" i="13" s="1"/>
  <c r="BK1" i="13" s="1"/>
  <c r="BR1" i="13" s="1"/>
  <c r="BY1" i="13" s="1"/>
  <c r="CF1" i="13" s="1"/>
  <c r="CM1" i="13" s="1"/>
  <c r="CT1" i="13" s="1"/>
  <c r="DA1" i="13" s="1"/>
  <c r="DH1" i="13" s="1"/>
  <c r="AP1" i="13"/>
  <c r="AW212" i="13"/>
  <c r="BD212" i="13" s="1"/>
  <c r="BK212" i="13" s="1"/>
  <c r="BR212" i="13" s="1"/>
  <c r="BY212" i="13" s="1"/>
  <c r="CF212" i="13" s="1"/>
  <c r="CM212" i="13" s="1"/>
  <c r="CT212" i="13" s="1"/>
  <c r="DA212" i="13" s="1"/>
  <c r="DH212" i="13" s="1"/>
  <c r="AP212" i="13"/>
  <c r="AA38" i="13"/>
  <c r="AA36" i="13"/>
  <c r="AA33" i="13"/>
  <c r="AA31" i="13"/>
  <c r="AA37" i="13"/>
  <c r="AA92" i="13"/>
  <c r="AA91" i="13"/>
  <c r="AA29" i="13"/>
  <c r="AA35" i="13"/>
  <c r="V263" i="13" l="1"/>
  <c r="AA100" i="13"/>
  <c r="AA99" i="13"/>
  <c r="AA98" i="13"/>
  <c r="AA97" i="13"/>
  <c r="AA28" i="13"/>
  <c r="AA27" i="13"/>
  <c r="AA26" i="13"/>
  <c r="AA25" i="13"/>
  <c r="AA24" i="13"/>
  <c r="AA23" i="13"/>
  <c r="AA22" i="13"/>
  <c r="AA21" i="13"/>
  <c r="AA20" i="13"/>
  <c r="AA19" i="13"/>
  <c r="AA17" i="13"/>
  <c r="AA15" i="13"/>
  <c r="AA4" i="13"/>
  <c r="AA10" i="13"/>
  <c r="AA9" i="13"/>
  <c r="AA8" i="13"/>
  <c r="AA7" i="13"/>
  <c r="AA6" i="13"/>
  <c r="AA5" i="13"/>
  <c r="AA12" i="13"/>
  <c r="AA3" i="13"/>
  <c r="AA11" i="13" l="1"/>
  <c r="AA13" i="13"/>
  <c r="AA14" i="13"/>
  <c r="AA16" i="13"/>
  <c r="AA18" i="13"/>
  <c r="AA263" i="13" l="1"/>
  <c r="Q38" i="14" s="1"/>
  <c r="Q47" i="14" s="1"/>
  <c r="C32" i="17" s="1"/>
  <c r="H26" i="9"/>
  <c r="H23" i="9"/>
  <c r="H22" i="9"/>
  <c r="H20" i="9"/>
  <c r="H14" i="9"/>
  <c r="H13" i="9"/>
  <c r="H30" i="9"/>
  <c r="H25" i="9"/>
  <c r="H19" i="9"/>
  <c r="H17" i="9"/>
  <c r="H15" i="9"/>
  <c r="H10" i="9"/>
  <c r="D31" i="9"/>
  <c r="D30" i="9"/>
  <c r="D27" i="9"/>
  <c r="D28" i="9" s="1"/>
  <c r="D29" i="9" s="1"/>
  <c r="C31" i="9"/>
  <c r="C30" i="9"/>
  <c r="C27" i="9"/>
  <c r="C28" i="9" s="1"/>
  <c r="C29" i="9" s="1"/>
  <c r="F32" i="17" l="1"/>
  <c r="H32" i="17"/>
  <c r="E31" i="9"/>
  <c r="H12" i="9"/>
  <c r="H16" i="9"/>
  <c r="H18" i="9"/>
  <c r="H24" i="9"/>
  <c r="H31" i="9"/>
  <c r="H11" i="9"/>
  <c r="H27" i="9"/>
  <c r="E29" i="9"/>
  <c r="E30" i="9"/>
  <c r="E27" i="9"/>
  <c r="E28" i="9"/>
  <c r="I32" i="17" l="1"/>
  <c r="I38" i="17" s="1"/>
  <c r="I45" i="17" s="1"/>
  <c r="I31" i="9"/>
  <c r="C177" i="17" s="1"/>
  <c r="I30" i="9"/>
  <c r="C176" i="17" s="1"/>
  <c r="I27" i="9"/>
  <c r="C173" i="17" s="1"/>
  <c r="H28" i="9"/>
  <c r="H29" i="9"/>
  <c r="I29" i="9" s="1"/>
  <c r="C175" i="17" s="1"/>
  <c r="BA37" i="12"/>
  <c r="BD37" i="12" s="1"/>
  <c r="AW37" i="12"/>
  <c r="AV37" i="12"/>
  <c r="AU37" i="12"/>
  <c r="AK37" i="12"/>
  <c r="AO37" i="12" s="1"/>
  <c r="AJ37" i="12"/>
  <c r="AN37" i="12" s="1"/>
  <c r="AI37" i="12"/>
  <c r="Y37" i="12" s="1"/>
  <c r="AC37" i="12" s="1"/>
  <c r="AB37" i="12"/>
  <c r="AD37" i="12" s="1"/>
  <c r="P37" i="12"/>
  <c r="O37" i="12"/>
  <c r="BF37" i="12" s="1"/>
  <c r="I37" i="12"/>
  <c r="A37" i="12"/>
  <c r="B129" i="17" s="1"/>
  <c r="I54" i="12"/>
  <c r="L54" i="12" s="1"/>
  <c r="A54" i="12"/>
  <c r="B148" i="17" s="1"/>
  <c r="A52" i="12"/>
  <c r="B146" i="17" s="1"/>
  <c r="A51" i="12"/>
  <c r="B145" i="17" s="1"/>
  <c r="I50" i="12"/>
  <c r="A50" i="12"/>
  <c r="B144" i="17" s="1"/>
  <c r="A49" i="12"/>
  <c r="B143" i="17" s="1"/>
  <c r="A48" i="12"/>
  <c r="B142" i="17" s="1"/>
  <c r="I47" i="12"/>
  <c r="A47" i="12"/>
  <c r="B141" i="17" s="1"/>
  <c r="AM35" i="12"/>
  <c r="AL35" i="12"/>
  <c r="AB35" i="12"/>
  <c r="AD35" i="12" s="1"/>
  <c r="BA35" i="12"/>
  <c r="BE35" i="12" s="1"/>
  <c r="AW35" i="12"/>
  <c r="AV35" i="12"/>
  <c r="AU35" i="12"/>
  <c r="AI35" i="12"/>
  <c r="P35" i="12"/>
  <c r="O35" i="12"/>
  <c r="I35" i="12"/>
  <c r="A35" i="12"/>
  <c r="B127" i="17" s="1"/>
  <c r="BA34" i="12"/>
  <c r="BD34" i="12" s="1"/>
  <c r="AW34" i="12"/>
  <c r="AV34" i="12"/>
  <c r="AU34" i="12"/>
  <c r="AK34" i="12"/>
  <c r="AO34" i="12" s="1"/>
  <c r="AJ34" i="12"/>
  <c r="AN34" i="12" s="1"/>
  <c r="AI34" i="12"/>
  <c r="Y34" i="12" s="1"/>
  <c r="AC34" i="12" s="1"/>
  <c r="AB34" i="12"/>
  <c r="AD34" i="12" s="1"/>
  <c r="P34" i="12"/>
  <c r="O34" i="12"/>
  <c r="BF34" i="12" s="1"/>
  <c r="I34" i="12"/>
  <c r="A34" i="12"/>
  <c r="B126" i="17" s="1"/>
  <c r="I32" i="12"/>
  <c r="L32" i="12" s="1"/>
  <c r="A32" i="12"/>
  <c r="B124" i="17" s="1"/>
  <c r="BA31" i="12"/>
  <c r="BD31" i="12" s="1"/>
  <c r="AW31" i="12"/>
  <c r="AV31" i="12"/>
  <c r="AU31" i="12"/>
  <c r="AK31" i="12"/>
  <c r="AO31" i="12" s="1"/>
  <c r="AJ31" i="12"/>
  <c r="AN31" i="12" s="1"/>
  <c r="AI31" i="12"/>
  <c r="Y31" i="12" s="1"/>
  <c r="AC31" i="12" s="1"/>
  <c r="AB31" i="12"/>
  <c r="AD31" i="12" s="1"/>
  <c r="P31" i="12"/>
  <c r="O31" i="12"/>
  <c r="BF31" i="12" s="1"/>
  <c r="I31" i="12"/>
  <c r="A31" i="12"/>
  <c r="B123" i="17" s="1"/>
  <c r="I46" i="12"/>
  <c r="A46" i="12"/>
  <c r="B140" i="17" s="1"/>
  <c r="I45" i="12"/>
  <c r="A45" i="12"/>
  <c r="B139" i="17" s="1"/>
  <c r="I28" i="12"/>
  <c r="L28" i="12" s="1"/>
  <c r="A28" i="12"/>
  <c r="B120" i="17" s="1"/>
  <c r="I27" i="12"/>
  <c r="L27" i="12" s="1"/>
  <c r="A27" i="12"/>
  <c r="B119" i="17" s="1"/>
  <c r="J22" i="12"/>
  <c r="J19" i="12" s="1"/>
  <c r="BA18" i="12"/>
  <c r="BD18" i="12" s="1"/>
  <c r="AW18" i="12"/>
  <c r="AV18" i="12"/>
  <c r="AU18" i="12"/>
  <c r="AK18" i="12"/>
  <c r="AO18" i="12" s="1"/>
  <c r="AJ18" i="12"/>
  <c r="AN18" i="12" s="1"/>
  <c r="AI18" i="12"/>
  <c r="Y18" i="12" s="1"/>
  <c r="AB18" i="12"/>
  <c r="AD18" i="12" s="1"/>
  <c r="V18" i="12"/>
  <c r="P18" i="12"/>
  <c r="O18" i="12"/>
  <c r="I18" i="12"/>
  <c r="F18" i="12"/>
  <c r="A18" i="12"/>
  <c r="J17" i="12"/>
  <c r="I17" i="12"/>
  <c r="F17" i="12"/>
  <c r="A17" i="12"/>
  <c r="I16" i="12"/>
  <c r="J16" i="12" s="1"/>
  <c r="F16" i="12"/>
  <c r="A16" i="12"/>
  <c r="I15" i="12"/>
  <c r="J15" i="12" s="1"/>
  <c r="F15" i="12"/>
  <c r="A15" i="12"/>
  <c r="BA14" i="12"/>
  <c r="BD14" i="12" s="1"/>
  <c r="AW14" i="12"/>
  <c r="AV14" i="12"/>
  <c r="AU14" i="12"/>
  <c r="AK14" i="12"/>
  <c r="AO14" i="12" s="1"/>
  <c r="AJ14" i="12"/>
  <c r="AN14" i="12" s="1"/>
  <c r="AI14" i="12"/>
  <c r="Y14" i="12" s="1"/>
  <c r="AC14" i="12" s="1"/>
  <c r="AB14" i="12"/>
  <c r="AD14" i="12" s="1"/>
  <c r="P14" i="12"/>
  <c r="O14" i="12"/>
  <c r="I14" i="12"/>
  <c r="F14" i="12"/>
  <c r="A14" i="12"/>
  <c r="BA13" i="12"/>
  <c r="BE13" i="12" s="1"/>
  <c r="AW13" i="12"/>
  <c r="AV13" i="12"/>
  <c r="AU13" i="12"/>
  <c r="AK13" i="12"/>
  <c r="AO13" i="12" s="1"/>
  <c r="AJ13" i="12"/>
  <c r="AN13" i="12" s="1"/>
  <c r="AI13" i="12"/>
  <c r="AD13" i="12"/>
  <c r="Y13" i="12"/>
  <c r="AC13" i="12" s="1"/>
  <c r="T13" i="12"/>
  <c r="P13" i="12"/>
  <c r="O13" i="12"/>
  <c r="BF13" i="12" s="1"/>
  <c r="BJ13" i="12" s="1"/>
  <c r="I13" i="12"/>
  <c r="F13" i="12"/>
  <c r="A13" i="12"/>
  <c r="BJ12" i="12"/>
  <c r="BI12" i="12"/>
  <c r="BA12" i="12"/>
  <c r="BD12" i="12" s="1"/>
  <c r="AW12" i="12"/>
  <c r="AV12" i="12"/>
  <c r="AU12" i="12"/>
  <c r="AK12" i="12"/>
  <c r="AO12" i="12" s="1"/>
  <c r="AJ12" i="12"/>
  <c r="AN12" i="12" s="1"/>
  <c r="AI12" i="12"/>
  <c r="AD12" i="12"/>
  <c r="Y12" i="12"/>
  <c r="AC12" i="12" s="1"/>
  <c r="P12" i="12"/>
  <c r="O12" i="12"/>
  <c r="I12" i="12"/>
  <c r="F12" i="12"/>
  <c r="A12" i="12"/>
  <c r="BJ11" i="12"/>
  <c r="BI11" i="12"/>
  <c r="BA11" i="12"/>
  <c r="BE11" i="12" s="1"/>
  <c r="AW11" i="12"/>
  <c r="AV11" i="12"/>
  <c r="AU11" i="12"/>
  <c r="AK11" i="12"/>
  <c r="AO11" i="12" s="1"/>
  <c r="AJ11" i="12"/>
  <c r="AN11" i="12" s="1"/>
  <c r="AI11" i="12"/>
  <c r="Y11" i="12" s="1"/>
  <c r="AD11" i="12"/>
  <c r="Z11" i="12"/>
  <c r="P11" i="12"/>
  <c r="O11" i="12"/>
  <c r="I11" i="12"/>
  <c r="F11" i="12"/>
  <c r="A11" i="12"/>
  <c r="BJ10" i="12"/>
  <c r="BI10" i="12"/>
  <c r="BA10" i="12"/>
  <c r="BE10" i="12" s="1"/>
  <c r="AW10" i="12"/>
  <c r="AV10" i="12"/>
  <c r="AU10" i="12"/>
  <c r="AK10" i="12"/>
  <c r="AO10" i="12" s="1"/>
  <c r="AJ10" i="12"/>
  <c r="AN10" i="12" s="1"/>
  <c r="AI10" i="12"/>
  <c r="Y10" i="12" s="1"/>
  <c r="AD10" i="12"/>
  <c r="Z10" i="12"/>
  <c r="P10" i="12"/>
  <c r="O10" i="12"/>
  <c r="I10" i="12"/>
  <c r="F10" i="12"/>
  <c r="A10" i="12"/>
  <c r="BA9" i="12"/>
  <c r="BE9" i="12" s="1"/>
  <c r="AW9" i="12"/>
  <c r="AV9" i="12"/>
  <c r="AU9" i="12"/>
  <c r="AK9" i="12"/>
  <c r="AO9" i="12" s="1"/>
  <c r="AJ9" i="12"/>
  <c r="AN9" i="12" s="1"/>
  <c r="AP9" i="12" s="1"/>
  <c r="AI9" i="12"/>
  <c r="Y9" i="12" s="1"/>
  <c r="AB9" i="12"/>
  <c r="AD9" i="12" s="1"/>
  <c r="V9" i="12"/>
  <c r="P9" i="12"/>
  <c r="O9" i="12"/>
  <c r="I9" i="12"/>
  <c r="F9" i="12"/>
  <c r="A9" i="12"/>
  <c r="BA8" i="12"/>
  <c r="BE8" i="12" s="1"/>
  <c r="AW8" i="12"/>
  <c r="AV8" i="12"/>
  <c r="AU8" i="12"/>
  <c r="AK8" i="12"/>
  <c r="AO8" i="12" s="1"/>
  <c r="AJ8" i="12"/>
  <c r="AN8" i="12" s="1"/>
  <c r="AI8" i="12"/>
  <c r="Y8" i="12" s="1"/>
  <c r="AC8" i="12" s="1"/>
  <c r="AB8" i="12"/>
  <c r="AD8" i="12" s="1"/>
  <c r="P8" i="12"/>
  <c r="O8" i="12"/>
  <c r="BF8" i="12" s="1"/>
  <c r="I8" i="12"/>
  <c r="F8" i="12"/>
  <c r="A8" i="12"/>
  <c r="BA7" i="12"/>
  <c r="BE7" i="12" s="1"/>
  <c r="AW7" i="12"/>
  <c r="AV7" i="12"/>
  <c r="AU7" i="12"/>
  <c r="AM7" i="12"/>
  <c r="AL7" i="12"/>
  <c r="AI7" i="12"/>
  <c r="Y7" i="12" s="1"/>
  <c r="AB7" i="12"/>
  <c r="AD7" i="12" s="1"/>
  <c r="V7" i="12"/>
  <c r="P7" i="12"/>
  <c r="O7" i="12"/>
  <c r="I7" i="12"/>
  <c r="F7" i="12"/>
  <c r="A7" i="12"/>
  <c r="BA6" i="12"/>
  <c r="BE6" i="12" s="1"/>
  <c r="AW6" i="12"/>
  <c r="AV6" i="12"/>
  <c r="AU6" i="12"/>
  <c r="AK6" i="12"/>
  <c r="AO6" i="12" s="1"/>
  <c r="AJ6" i="12"/>
  <c r="AN6" i="12" s="1"/>
  <c r="AI6" i="12"/>
  <c r="Y6" i="12" s="1"/>
  <c r="AC6" i="12" s="1"/>
  <c r="AB6" i="12"/>
  <c r="AD6" i="12" s="1"/>
  <c r="T6" i="12"/>
  <c r="P6" i="12"/>
  <c r="O6" i="12"/>
  <c r="BF6" i="12" s="1"/>
  <c r="BJ6" i="12" s="1"/>
  <c r="I6" i="12"/>
  <c r="F6" i="12"/>
  <c r="A6" i="12"/>
  <c r="BA5" i="12"/>
  <c r="BE5" i="12" s="1"/>
  <c r="AW5" i="12"/>
  <c r="AV5" i="12"/>
  <c r="AU5" i="12"/>
  <c r="AK5" i="12"/>
  <c r="AO5" i="12" s="1"/>
  <c r="AJ5" i="12"/>
  <c r="AN5" i="12" s="1"/>
  <c r="AI5" i="12"/>
  <c r="Y5" i="12" s="1"/>
  <c r="AC5" i="12" s="1"/>
  <c r="AB5" i="12"/>
  <c r="AD5" i="12" s="1"/>
  <c r="P5" i="12"/>
  <c r="O5" i="12"/>
  <c r="I5" i="12"/>
  <c r="F5" i="12"/>
  <c r="A5" i="12"/>
  <c r="BA4" i="12"/>
  <c r="BE4" i="12" s="1"/>
  <c r="AW4" i="12"/>
  <c r="AV4" i="12"/>
  <c r="AU4" i="12"/>
  <c r="AK4" i="12"/>
  <c r="AO4" i="12" s="1"/>
  <c r="AJ4" i="12"/>
  <c r="AN4" i="12" s="1"/>
  <c r="AI4" i="12"/>
  <c r="Y4" i="12" s="1"/>
  <c r="AB4" i="12"/>
  <c r="AD4" i="12" s="1"/>
  <c r="V4" i="12"/>
  <c r="T4" i="12"/>
  <c r="P4" i="12"/>
  <c r="O4" i="12"/>
  <c r="BF4" i="12" s="1"/>
  <c r="I4" i="12"/>
  <c r="F4" i="12"/>
  <c r="A4" i="12"/>
  <c r="BA3" i="12"/>
  <c r="BE3" i="12" s="1"/>
  <c r="AW3" i="12"/>
  <c r="AV3" i="12"/>
  <c r="AU3" i="12"/>
  <c r="AK3" i="12"/>
  <c r="AO3" i="12" s="1"/>
  <c r="AJ3" i="12"/>
  <c r="AN3" i="12" s="1"/>
  <c r="AI3" i="12"/>
  <c r="Y3" i="12" s="1"/>
  <c r="AB3" i="12"/>
  <c r="AD3" i="12" s="1"/>
  <c r="V3" i="12"/>
  <c r="P3" i="12"/>
  <c r="O3" i="12"/>
  <c r="I3" i="12"/>
  <c r="F3" i="12"/>
  <c r="A3" i="12"/>
  <c r="H173" i="17" l="1"/>
  <c r="F173" i="17"/>
  <c r="F175" i="17"/>
  <c r="H175" i="17"/>
  <c r="H176" i="17"/>
  <c r="F176" i="17"/>
  <c r="H177" i="17"/>
  <c r="F177" i="17"/>
  <c r="AQ31" i="12"/>
  <c r="AP14" i="12"/>
  <c r="T7" i="12"/>
  <c r="AC10" i="12"/>
  <c r="AP10" i="12" s="1"/>
  <c r="T12" i="12"/>
  <c r="AO7" i="12"/>
  <c r="AQ7" i="12" s="1"/>
  <c r="I28" i="9"/>
  <c r="C174" i="17" s="1"/>
  <c r="T14" i="12"/>
  <c r="AQ5" i="12"/>
  <c r="T8" i="12"/>
  <c r="AP37" i="12"/>
  <c r="AY37" i="12"/>
  <c r="BE37" i="12"/>
  <c r="BJ37" i="12"/>
  <c r="BI37" i="12"/>
  <c r="AQ37" i="12"/>
  <c r="BF35" i="12"/>
  <c r="BJ35" i="12" s="1"/>
  <c r="S37" i="12"/>
  <c r="AX37" i="12"/>
  <c r="AY6" i="12"/>
  <c r="BL6" i="12" s="1"/>
  <c r="BO6" i="12" s="1"/>
  <c r="K6" i="12" s="1"/>
  <c r="AX12" i="12"/>
  <c r="T37" i="12"/>
  <c r="S9" i="12"/>
  <c r="S3" i="12"/>
  <c r="AX3" i="12"/>
  <c r="S12" i="12"/>
  <c r="AY34" i="12"/>
  <c r="S35" i="12"/>
  <c r="AY9" i="12"/>
  <c r="BD9" i="12"/>
  <c r="AY7" i="12"/>
  <c r="BD6" i="12"/>
  <c r="AY3" i="12"/>
  <c r="AY4" i="12"/>
  <c r="AX10" i="12"/>
  <c r="AX11" i="12"/>
  <c r="L47" i="12"/>
  <c r="BF9" i="12"/>
  <c r="BJ9" i="12" s="1"/>
  <c r="BD3" i="12"/>
  <c r="AC4" i="12"/>
  <c r="AP4" i="12" s="1"/>
  <c r="AP6" i="12"/>
  <c r="AX9" i="12"/>
  <c r="AY13" i="12"/>
  <c r="BL13" i="12" s="1"/>
  <c r="BO13" i="12" s="1"/>
  <c r="K13" i="12" s="1"/>
  <c r="BE14" i="12"/>
  <c r="S18" i="12"/>
  <c r="AP8" i="12"/>
  <c r="T10" i="12"/>
  <c r="T11" i="12"/>
  <c r="BF14" i="12"/>
  <c r="BJ14" i="12" s="1"/>
  <c r="S6" i="12"/>
  <c r="AX6" i="12"/>
  <c r="AX31" i="12"/>
  <c r="AX35" i="12"/>
  <c r="T9" i="12"/>
  <c r="BD11" i="12"/>
  <c r="S13" i="12"/>
  <c r="AX14" i="12"/>
  <c r="AO35" i="12"/>
  <c r="AQ35" i="12" s="1"/>
  <c r="AY35" i="12"/>
  <c r="Y35" i="12"/>
  <c r="AC35" i="12" s="1"/>
  <c r="BD35" i="12"/>
  <c r="T35" i="12"/>
  <c r="AN35" i="12"/>
  <c r="AX34" i="12"/>
  <c r="AP34" i="12"/>
  <c r="AQ34" i="12"/>
  <c r="S34" i="12"/>
  <c r="BE34" i="12"/>
  <c r="BJ34" i="12"/>
  <c r="BI34" i="12"/>
  <c r="T34" i="12"/>
  <c r="AY31" i="12"/>
  <c r="BE31" i="12"/>
  <c r="AP31" i="12"/>
  <c r="BJ31" i="12"/>
  <c r="BI31" i="12"/>
  <c r="S31" i="12"/>
  <c r="T31" i="12"/>
  <c r="S4" i="12"/>
  <c r="T5" i="12"/>
  <c r="S7" i="12"/>
  <c r="AX7" i="12"/>
  <c r="AY8" i="12"/>
  <c r="S10" i="12"/>
  <c r="AY10" i="12"/>
  <c r="S14" i="12"/>
  <c r="AQ14" i="12"/>
  <c r="AY18" i="12"/>
  <c r="AX4" i="12"/>
  <c r="AY5" i="12"/>
  <c r="AQ6" i="12"/>
  <c r="AC7" i="12"/>
  <c r="AQ11" i="12"/>
  <c r="AP12" i="12"/>
  <c r="AQ18" i="12"/>
  <c r="AQ8" i="12"/>
  <c r="BD10" i="12"/>
  <c r="S11" i="12"/>
  <c r="BE12" i="12"/>
  <c r="AC18" i="12"/>
  <c r="AP18" i="12" s="1"/>
  <c r="T3" i="12"/>
  <c r="AQ4" i="12"/>
  <c r="AP5" i="12"/>
  <c r="AN7" i="12"/>
  <c r="BI8" i="12"/>
  <c r="AY11" i="12"/>
  <c r="AQ3" i="12"/>
  <c r="AC3" i="12"/>
  <c r="AP3" i="12" s="1"/>
  <c r="BF5" i="12"/>
  <c r="BI5" i="12" s="1"/>
  <c r="AQ10" i="12"/>
  <c r="AC11" i="12"/>
  <c r="AP11" i="12" s="1"/>
  <c r="AQ12" i="12"/>
  <c r="AX13" i="12"/>
  <c r="T18" i="12"/>
  <c r="AQ13" i="12"/>
  <c r="AP13" i="12"/>
  <c r="AX18" i="12"/>
  <c r="AQ9" i="12"/>
  <c r="BJ4" i="12"/>
  <c r="BI4" i="12"/>
  <c r="BD4" i="12"/>
  <c r="BD7" i="12"/>
  <c r="BD13" i="12"/>
  <c r="BE18" i="12"/>
  <c r="S5" i="12"/>
  <c r="AX5" i="12"/>
  <c r="BF7" i="12"/>
  <c r="S8" i="12"/>
  <c r="AX8" i="12"/>
  <c r="BF18" i="12"/>
  <c r="BF3" i="12"/>
  <c r="AY12" i="12"/>
  <c r="BI13" i="12"/>
  <c r="AY14" i="12"/>
  <c r="BD5" i="12"/>
  <c r="BI6" i="12"/>
  <c r="BD8" i="12"/>
  <c r="H174" i="17" l="1"/>
  <c r="F174" i="17"/>
  <c r="I177" i="17"/>
  <c r="I175" i="17"/>
  <c r="I176" i="17"/>
  <c r="I173" i="17"/>
  <c r="L45" i="12"/>
  <c r="BI9" i="12"/>
  <c r="BK9" i="12" s="1"/>
  <c r="BM9" i="12" s="1"/>
  <c r="BN9" i="12" s="1"/>
  <c r="BL10" i="12"/>
  <c r="BO10" i="12" s="1"/>
  <c r="K10" i="12" s="1"/>
  <c r="BK31" i="12"/>
  <c r="BM31" i="12" s="1"/>
  <c r="BN31" i="12" s="1"/>
  <c r="BL37" i="12"/>
  <c r="BO37" i="12" s="1"/>
  <c r="K37" i="12" s="1"/>
  <c r="G129" i="17" s="1"/>
  <c r="H129" i="17" s="1"/>
  <c r="BI35" i="12"/>
  <c r="BK35" i="12" s="1"/>
  <c r="BK12" i="12"/>
  <c r="BM12" i="12" s="1"/>
  <c r="BN12" i="12" s="1"/>
  <c r="L46" i="12"/>
  <c r="L50" i="12"/>
  <c r="BL14" i="12"/>
  <c r="BO14" i="12" s="1"/>
  <c r="K14" i="12" s="1"/>
  <c r="BL4" i="12"/>
  <c r="BO4" i="12" s="1"/>
  <c r="K4" i="12" s="1"/>
  <c r="BK37" i="12"/>
  <c r="BI14" i="12"/>
  <c r="BK14" i="12" s="1"/>
  <c r="BM14" i="12" s="1"/>
  <c r="BN14" i="12" s="1"/>
  <c r="BL9" i="12"/>
  <c r="BO9" i="12" s="1"/>
  <c r="K9" i="12" s="1"/>
  <c r="BL11" i="12"/>
  <c r="BO11" i="12" s="1"/>
  <c r="K11" i="12" s="1"/>
  <c r="BK11" i="12"/>
  <c r="BM11" i="12" s="1"/>
  <c r="BN11" i="12" s="1"/>
  <c r="BK6" i="12"/>
  <c r="BM6" i="12" s="1"/>
  <c r="BN6" i="12" s="1"/>
  <c r="BL12" i="12"/>
  <c r="BO12" i="12" s="1"/>
  <c r="K12" i="12" s="1"/>
  <c r="BJ8" i="12"/>
  <c r="BL8" i="12" s="1"/>
  <c r="BO8" i="12" s="1"/>
  <c r="K8" i="12" s="1"/>
  <c r="BJ5" i="12"/>
  <c r="BL5" i="12" s="1"/>
  <c r="BO5" i="12" s="1"/>
  <c r="K5" i="12" s="1"/>
  <c r="BK4" i="12"/>
  <c r="BM4" i="12" s="1"/>
  <c r="BN4" i="12" s="1"/>
  <c r="BK10" i="12"/>
  <c r="BM10" i="12" s="1"/>
  <c r="BN10" i="12" s="1"/>
  <c r="BL35" i="12"/>
  <c r="BO35" i="12" s="1"/>
  <c r="K35" i="12" s="1"/>
  <c r="G127" i="17" s="1"/>
  <c r="H127" i="17" s="1"/>
  <c r="AP35" i="12"/>
  <c r="BK34" i="12"/>
  <c r="BM34" i="12" s="1"/>
  <c r="BN34" i="12" s="1"/>
  <c r="BL34" i="12"/>
  <c r="BO34" i="12" s="1"/>
  <c r="K34" i="12" s="1"/>
  <c r="G126" i="17" s="1"/>
  <c r="H126" i="17" s="1"/>
  <c r="BL31" i="12"/>
  <c r="BO31" i="12" s="1"/>
  <c r="K31" i="12" s="1"/>
  <c r="G123" i="17" s="1"/>
  <c r="H123" i="17" s="1"/>
  <c r="AP7" i="12"/>
  <c r="BK8" i="12"/>
  <c r="BM8" i="12" s="1"/>
  <c r="BN8" i="12" s="1"/>
  <c r="BK13" i="12"/>
  <c r="BM13" i="12" s="1"/>
  <c r="BN13" i="12" s="1"/>
  <c r="BK5" i="12"/>
  <c r="BJ18" i="12"/>
  <c r="BL18" i="12" s="1"/>
  <c r="BO18" i="12" s="1"/>
  <c r="K18" i="12" s="1"/>
  <c r="BI18" i="12"/>
  <c r="BK18" i="12" s="1"/>
  <c r="BJ3" i="12"/>
  <c r="BL3" i="12" s="1"/>
  <c r="BO3" i="12" s="1"/>
  <c r="K3" i="12" s="1"/>
  <c r="BI3" i="12"/>
  <c r="BK3" i="12" s="1"/>
  <c r="BI7" i="12"/>
  <c r="BK7" i="12" s="1"/>
  <c r="BJ7" i="12"/>
  <c r="BL7" i="12" s="1"/>
  <c r="BO7" i="12" s="1"/>
  <c r="K7" i="12" s="1"/>
  <c r="I174" i="17" l="1"/>
  <c r="BM37" i="12"/>
  <c r="BN37" i="12" s="1"/>
  <c r="BM35" i="12"/>
  <c r="BN35" i="12" s="1"/>
  <c r="BP34" i="12"/>
  <c r="J34" i="12"/>
  <c r="E126" i="17" s="1"/>
  <c r="F126" i="17" s="1"/>
  <c r="I126" i="17" s="1"/>
  <c r="BP31" i="12"/>
  <c r="J31" i="12"/>
  <c r="E123" i="17" s="1"/>
  <c r="F123" i="17" s="1"/>
  <c r="I123" i="17" s="1"/>
  <c r="J10" i="12"/>
  <c r="BP10" i="12"/>
  <c r="BP12" i="12"/>
  <c r="J12" i="12"/>
  <c r="J6" i="12"/>
  <c r="BP6" i="12"/>
  <c r="BP13" i="12"/>
  <c r="J13" i="12"/>
  <c r="BP11" i="12"/>
  <c r="J11" i="12"/>
  <c r="J8" i="12"/>
  <c r="BP8" i="12"/>
  <c r="BM18" i="12"/>
  <c r="BN18" i="12" s="1"/>
  <c r="J4" i="12"/>
  <c r="BP4" i="12"/>
  <c r="BP9" i="12"/>
  <c r="J9" i="12"/>
  <c r="BM5" i="12"/>
  <c r="BN5" i="12" s="1"/>
  <c r="J14" i="12"/>
  <c r="BP14" i="12"/>
  <c r="BM7" i="12"/>
  <c r="BN7" i="12" s="1"/>
  <c r="BM3" i="12"/>
  <c r="BN3" i="12" s="1"/>
  <c r="BP37" i="12" l="1"/>
  <c r="J37" i="12"/>
  <c r="E129" i="17" s="1"/>
  <c r="F129" i="17" s="1"/>
  <c r="I129" i="17" s="1"/>
  <c r="BP35" i="12"/>
  <c r="J35" i="12"/>
  <c r="E127" i="17" s="1"/>
  <c r="F127" i="17" s="1"/>
  <c r="I127" i="17" s="1"/>
  <c r="BP3" i="12"/>
  <c r="J3" i="12"/>
  <c r="J7" i="12"/>
  <c r="BP7" i="12"/>
  <c r="J5" i="12"/>
  <c r="BP5" i="12"/>
  <c r="BP18" i="12"/>
  <c r="J18" i="12"/>
  <c r="I137" i="17" l="1"/>
  <c r="I153" i="17" s="1"/>
  <c r="C36" i="8"/>
  <c r="C58" i="8"/>
  <c r="C91" i="8"/>
  <c r="BC58" i="8"/>
  <c r="D80" i="8"/>
  <c r="H80" i="8"/>
  <c r="I80" i="8"/>
  <c r="J80" i="8"/>
  <c r="K80" i="8"/>
  <c r="L80" i="8"/>
  <c r="N80" i="8"/>
  <c r="O80" i="8"/>
  <c r="R80" i="8"/>
  <c r="S80" i="8"/>
  <c r="V80" i="8"/>
  <c r="Y80" i="8"/>
  <c r="Z80" i="8"/>
  <c r="AA80" i="8"/>
  <c r="AG80" i="8"/>
  <c r="AI80" i="8"/>
  <c r="AM80" i="8"/>
  <c r="AN80" i="8"/>
  <c r="AO80" i="8"/>
  <c r="AP80" i="8"/>
  <c r="AQ80" i="8"/>
  <c r="AR80" i="8"/>
  <c r="AS80" i="8"/>
  <c r="AT80" i="8"/>
  <c r="AU80" i="8"/>
  <c r="AV80" i="8"/>
  <c r="AW80" i="8"/>
  <c r="AX80" i="8"/>
  <c r="AY80" i="8"/>
  <c r="AZ80" i="8"/>
  <c r="BA80" i="8"/>
  <c r="BB80" i="8"/>
  <c r="BC80" i="8"/>
  <c r="BD80" i="8"/>
  <c r="BE80" i="8"/>
  <c r="BF80" i="8"/>
  <c r="BG80" i="8"/>
  <c r="BH80" i="8"/>
  <c r="BI80" i="8"/>
  <c r="BJ80" i="8"/>
  <c r="BK80" i="8"/>
  <c r="BL80" i="8"/>
  <c r="BM80" i="8"/>
  <c r="BN80" i="8"/>
  <c r="BO80" i="8"/>
  <c r="BP80" i="8"/>
  <c r="BQ80" i="8"/>
  <c r="BR80" i="8"/>
  <c r="BS80" i="8"/>
  <c r="BT80" i="8"/>
  <c r="BU80" i="8"/>
  <c r="BV80" i="8"/>
  <c r="BW80" i="8"/>
  <c r="BX80" i="8"/>
  <c r="BY80" i="8"/>
  <c r="BZ80" i="8"/>
  <c r="CA80" i="8"/>
  <c r="CB80" i="8"/>
  <c r="C80" i="8"/>
  <c r="G63" i="8"/>
  <c r="G80" i="8" s="1"/>
  <c r="Z97" i="8" l="1"/>
  <c r="AJ97" i="8" s="1"/>
  <c r="AL83" i="8"/>
  <c r="BD5" i="8" l="1"/>
  <c r="CR10" i="8" s="1"/>
  <c r="CK30" i="8"/>
  <c r="AZ7" i="8"/>
  <c r="AZ5" i="8"/>
  <c r="CJ23" i="8" s="1"/>
  <c r="CQ10" i="8"/>
  <c r="AD86" i="8"/>
  <c r="AD87" i="8"/>
  <c r="AC87" i="8"/>
  <c r="AC91" i="8" s="1"/>
  <c r="AB86" i="8"/>
  <c r="AB91" i="8" s="1"/>
  <c r="U86" i="8"/>
  <c r="U91" i="8" s="1"/>
  <c r="Q87" i="8"/>
  <c r="Q91" i="8" s="1"/>
  <c r="P86" i="8"/>
  <c r="T86" i="8" s="1"/>
  <c r="AX7" i="8"/>
  <c r="AX5" i="8"/>
  <c r="CJ21" i="8" s="1"/>
  <c r="AW5" i="8"/>
  <c r="CJ20" i="8" s="1"/>
  <c r="BM7" i="8"/>
  <c r="BM6" i="8"/>
  <c r="BM5" i="8"/>
  <c r="CR19" i="8" s="1"/>
  <c r="BL7" i="8"/>
  <c r="BL6" i="8"/>
  <c r="BL5" i="8"/>
  <c r="CR18" i="8" s="1"/>
  <c r="BK7" i="8"/>
  <c r="BK6" i="8"/>
  <c r="BK5" i="8"/>
  <c r="CR17" i="8" s="1"/>
  <c r="BJ7" i="8"/>
  <c r="BJ6" i="8"/>
  <c r="BJ5" i="8"/>
  <c r="CR16" i="8" s="1"/>
  <c r="BI7" i="8"/>
  <c r="BI6" i="8"/>
  <c r="BI5" i="8"/>
  <c r="CR15" i="8" s="1"/>
  <c r="BH7" i="8"/>
  <c r="BH6" i="8"/>
  <c r="BH5" i="8"/>
  <c r="CR14" i="8" s="1"/>
  <c r="BG7" i="8"/>
  <c r="BG6" i="8"/>
  <c r="BG5" i="8"/>
  <c r="CR13" i="8" s="1"/>
  <c r="BF7" i="8"/>
  <c r="BF6" i="8"/>
  <c r="BF5" i="8"/>
  <c r="CR12" i="8" s="1"/>
  <c r="BE7" i="8"/>
  <c r="BE6" i="8"/>
  <c r="BE5" i="8"/>
  <c r="BD7" i="8"/>
  <c r="BD6" i="8"/>
  <c r="AY7" i="8"/>
  <c r="AY5" i="8"/>
  <c r="CJ22" i="8" s="1"/>
  <c r="AW7" i="8"/>
  <c r="AV7" i="8"/>
  <c r="AV5" i="8"/>
  <c r="CJ19" i="8" s="1"/>
  <c r="AU7" i="8"/>
  <c r="AU5" i="8"/>
  <c r="CJ18" i="8" s="1"/>
  <c r="AT7" i="8"/>
  <c r="AT5" i="8"/>
  <c r="CJ17" i="8" s="1"/>
  <c r="AS7" i="8"/>
  <c r="AS5" i="8"/>
  <c r="CJ16" i="8" s="1"/>
  <c r="AR7" i="8"/>
  <c r="AR5" i="8"/>
  <c r="CJ15" i="8" s="1"/>
  <c r="AQ7" i="8"/>
  <c r="AQ5" i="8"/>
  <c r="AP7" i="8"/>
  <c r="AP5" i="8"/>
  <c r="AN5" i="8"/>
  <c r="AN7" i="8"/>
  <c r="AM7" i="8"/>
  <c r="AM5" i="8"/>
  <c r="W69" i="8"/>
  <c r="W66" i="8"/>
  <c r="W67" i="8"/>
  <c r="W68" i="8"/>
  <c r="U76" i="8"/>
  <c r="U80" i="8" s="1"/>
  <c r="T76" i="8"/>
  <c r="AD77" i="8"/>
  <c r="AD76" i="8"/>
  <c r="AC77" i="8"/>
  <c r="AC80" i="8" s="1"/>
  <c r="AB76" i="8"/>
  <c r="AB80" i="8" s="1"/>
  <c r="Q77" i="8"/>
  <c r="Q80" i="8" s="1"/>
  <c r="P76" i="8"/>
  <c r="P80" i="8" s="1"/>
  <c r="C106" i="8"/>
  <c r="D91" i="8"/>
  <c r="E91" i="8"/>
  <c r="F91" i="8"/>
  <c r="G91" i="8"/>
  <c r="H91" i="8"/>
  <c r="I91" i="8"/>
  <c r="J91" i="8"/>
  <c r="K91" i="8"/>
  <c r="L91" i="8"/>
  <c r="M91" i="8"/>
  <c r="N91" i="8"/>
  <c r="O91" i="8"/>
  <c r="R91" i="8"/>
  <c r="S91" i="8"/>
  <c r="V91" i="8"/>
  <c r="W91" i="8"/>
  <c r="X91" i="8"/>
  <c r="Y91" i="8"/>
  <c r="Z91" i="8"/>
  <c r="AA91" i="8"/>
  <c r="AE91" i="8"/>
  <c r="AF91" i="8"/>
  <c r="AG91" i="8"/>
  <c r="AH91" i="8"/>
  <c r="AI91" i="8"/>
  <c r="AL91" i="8"/>
  <c r="AM91" i="8"/>
  <c r="AN91" i="8"/>
  <c r="AO91" i="8"/>
  <c r="AP91" i="8"/>
  <c r="AQ91" i="8"/>
  <c r="AR91" i="8"/>
  <c r="AS91" i="8"/>
  <c r="AT91" i="8"/>
  <c r="AU91" i="8"/>
  <c r="AV91" i="8"/>
  <c r="AW91" i="8"/>
  <c r="AX91" i="8"/>
  <c r="AY91" i="8"/>
  <c r="AZ91" i="8"/>
  <c r="BA91" i="8"/>
  <c r="BB91" i="8"/>
  <c r="BC91" i="8"/>
  <c r="BD91" i="8"/>
  <c r="BE91" i="8"/>
  <c r="BF91" i="8"/>
  <c r="BG91" i="8"/>
  <c r="BH91" i="8"/>
  <c r="BI91" i="8"/>
  <c r="BJ91" i="8"/>
  <c r="BK91" i="8"/>
  <c r="BL91" i="8"/>
  <c r="BM91" i="8"/>
  <c r="BN91" i="8"/>
  <c r="BO91" i="8"/>
  <c r="BP91" i="8"/>
  <c r="BQ91" i="8"/>
  <c r="BR91" i="8"/>
  <c r="BS91" i="8"/>
  <c r="BT91" i="8"/>
  <c r="BU91" i="8"/>
  <c r="BV91" i="8"/>
  <c r="BW91" i="8"/>
  <c r="BX91" i="8"/>
  <c r="BY91" i="8"/>
  <c r="BZ91" i="8"/>
  <c r="CA91" i="8"/>
  <c r="CB91" i="8"/>
  <c r="CH10" i="8"/>
  <c r="CH11" i="8"/>
  <c r="CH12" i="8"/>
  <c r="CH13" i="8"/>
  <c r="CH14" i="8"/>
  <c r="CH15" i="8"/>
  <c r="CH16" i="8"/>
  <c r="CH17" i="8"/>
  <c r="CH18" i="8"/>
  <c r="CH19" i="8"/>
  <c r="CH20" i="8"/>
  <c r="CH21" i="8"/>
  <c r="CH22" i="8"/>
  <c r="CH23" i="8"/>
  <c r="CQ11" i="8"/>
  <c r="CQ12" i="8"/>
  <c r="CQ13" i="8"/>
  <c r="CQ14" i="8"/>
  <c r="CQ15" i="8"/>
  <c r="CQ16" i="8"/>
  <c r="CQ17" i="8"/>
  <c r="CQ18" i="8"/>
  <c r="CQ19" i="8"/>
  <c r="W80" i="8" l="1"/>
  <c r="AJ76" i="8"/>
  <c r="T80" i="8"/>
  <c r="AD80" i="8"/>
  <c r="CQ30" i="8"/>
  <c r="CH30" i="8"/>
  <c r="AD91" i="8"/>
  <c r="T91" i="8"/>
  <c r="P91" i="8"/>
  <c r="AK76" i="8"/>
  <c r="AK80" i="8" l="1"/>
  <c r="AJ80" i="8"/>
  <c r="U53" i="8"/>
  <c r="T53" i="8"/>
  <c r="AJ53" i="8" s="1"/>
  <c r="AD54" i="8"/>
  <c r="AC54" i="8"/>
  <c r="AD53" i="8"/>
  <c r="AB53" i="8"/>
  <c r="X63" i="8"/>
  <c r="X41" i="8"/>
  <c r="Q54" i="8"/>
  <c r="P53" i="8"/>
  <c r="AK86" i="8"/>
  <c r="AK91" i="8" s="1"/>
  <c r="AJ86" i="8"/>
  <c r="AJ91" i="8" s="1"/>
  <c r="AK53" i="8"/>
  <c r="AH72" i="8"/>
  <c r="AL72" i="8" s="1"/>
  <c r="AH71" i="8"/>
  <c r="AL71" i="8" s="1"/>
  <c r="AE70" i="8"/>
  <c r="AL70" i="8" s="1"/>
  <c r="AH65" i="8"/>
  <c r="AE64" i="8"/>
  <c r="AL64" i="8" s="1"/>
  <c r="AH50" i="8"/>
  <c r="AL50" i="8" s="1"/>
  <c r="AH49" i="8"/>
  <c r="AL49" i="8" s="1"/>
  <c r="AH48" i="8"/>
  <c r="AL48" i="8" s="1"/>
  <c r="AH45" i="8"/>
  <c r="AL45" i="8" s="1"/>
  <c r="AE44" i="8"/>
  <c r="AL44" i="8" s="1"/>
  <c r="AE43" i="8"/>
  <c r="AL43" i="8" s="1"/>
  <c r="W47" i="8"/>
  <c r="W46" i="8"/>
  <c r="W20" i="8"/>
  <c r="W19" i="8"/>
  <c r="AC33" i="8"/>
  <c r="AD33" i="8"/>
  <c r="AD32" i="8"/>
  <c r="AB32" i="8"/>
  <c r="AH23" i="8"/>
  <c r="AL23" i="8" s="1"/>
  <c r="AH22" i="8"/>
  <c r="AL22" i="8" s="1"/>
  <c r="AH21" i="8"/>
  <c r="AL21" i="8" s="1"/>
  <c r="AH18" i="8"/>
  <c r="AL18" i="8" s="1"/>
  <c r="AE16" i="8"/>
  <c r="AL16" i="8" s="1"/>
  <c r="AE17" i="8"/>
  <c r="AL17" i="8" s="1"/>
  <c r="AE15" i="8"/>
  <c r="AL15" i="8" s="1"/>
  <c r="AE14" i="8"/>
  <c r="AL14" i="8" s="1"/>
  <c r="AF12" i="8"/>
  <c r="AL12" i="8" s="1"/>
  <c r="AL24" i="8"/>
  <c r="AL25" i="8"/>
  <c r="AL26" i="8"/>
  <c r="AL27" i="8"/>
  <c r="AL28" i="8"/>
  <c r="AL29" i="8"/>
  <c r="U33" i="8"/>
  <c r="AK33" i="8" s="1"/>
  <c r="T33" i="8"/>
  <c r="Q33" i="8"/>
  <c r="P32" i="8"/>
  <c r="X80" i="8" l="1"/>
  <c r="AH80" i="8"/>
  <c r="AL65" i="8"/>
  <c r="V33" i="8"/>
  <c r="AJ33" i="8"/>
  <c r="D11" i="9" l="1"/>
  <c r="D12" i="9" s="1"/>
  <c r="C11" i="9"/>
  <c r="C12" i="9" s="1"/>
  <c r="D24" i="9"/>
  <c r="E23" i="9"/>
  <c r="H9" i="9"/>
  <c r="M21" i="8"/>
  <c r="M22" i="8"/>
  <c r="M23" i="8"/>
  <c r="M16" i="8"/>
  <c r="M17" i="8"/>
  <c r="M18" i="8"/>
  <c r="M15" i="8"/>
  <c r="M14" i="8"/>
  <c r="M13" i="8"/>
  <c r="M12" i="8"/>
  <c r="M49" i="8"/>
  <c r="M48" i="8"/>
  <c r="M45" i="8"/>
  <c r="M44" i="8"/>
  <c r="M43" i="8"/>
  <c r="M41" i="8"/>
  <c r="M40" i="8"/>
  <c r="M70" i="8"/>
  <c r="M71" i="8"/>
  <c r="M72" i="8"/>
  <c r="M63" i="8"/>
  <c r="M65" i="8"/>
  <c r="M64" i="8"/>
  <c r="F67" i="8"/>
  <c r="F66" i="8"/>
  <c r="F80" i="8" s="1"/>
  <c r="E62" i="8"/>
  <c r="E80" i="8" s="1"/>
  <c r="F47" i="8"/>
  <c r="F46" i="8"/>
  <c r="E42" i="8"/>
  <c r="D40" i="8"/>
  <c r="AE40" i="8" s="1"/>
  <c r="AL40" i="8" s="1"/>
  <c r="F19" i="8"/>
  <c r="F20" i="8"/>
  <c r="AF20" i="8" s="1"/>
  <c r="AL20" i="8" s="1"/>
  <c r="D13" i="8"/>
  <c r="CI22" i="8"/>
  <c r="CI21" i="8"/>
  <c r="CI20" i="8"/>
  <c r="CI19" i="8"/>
  <c r="CI18" i="8"/>
  <c r="CI17" i="8"/>
  <c r="CI16" i="8"/>
  <c r="CI15" i="8"/>
  <c r="CI14" i="8"/>
  <c r="CI13" i="8"/>
  <c r="CI12" i="8"/>
  <c r="CI11" i="8"/>
  <c r="CI10" i="8"/>
  <c r="E22" i="9"/>
  <c r="I22" i="9" s="1"/>
  <c r="C168" i="17" s="1"/>
  <c r="E20" i="9"/>
  <c r="D19" i="9"/>
  <c r="C19" i="9"/>
  <c r="D18" i="9"/>
  <c r="C18" i="9"/>
  <c r="D17" i="9"/>
  <c r="C17" i="9"/>
  <c r="D16" i="9"/>
  <c r="C16" i="9"/>
  <c r="D15" i="9"/>
  <c r="C15" i="9"/>
  <c r="E14" i="9"/>
  <c r="I14" i="9" s="1"/>
  <c r="C160" i="17" s="1"/>
  <c r="D10" i="9"/>
  <c r="C10" i="9"/>
  <c r="E9" i="9"/>
  <c r="CA106" i="8"/>
  <c r="BZ106" i="8"/>
  <c r="BW106" i="8"/>
  <c r="BV106" i="8"/>
  <c r="BU106" i="8"/>
  <c r="BT106" i="8"/>
  <c r="BS106" i="8"/>
  <c r="BR106" i="8"/>
  <c r="BQ106" i="8"/>
  <c r="BP106" i="8"/>
  <c r="BO106" i="8"/>
  <c r="BN106" i="8"/>
  <c r="BM106" i="8"/>
  <c r="BL106" i="8"/>
  <c r="BK106" i="8"/>
  <c r="BJ106" i="8"/>
  <c r="BI106" i="8"/>
  <c r="BH106" i="8"/>
  <c r="BG106" i="8"/>
  <c r="BF106" i="8"/>
  <c r="BE106" i="8"/>
  <c r="BD106" i="8"/>
  <c r="BC106" i="8"/>
  <c r="BB106" i="8"/>
  <c r="BA106" i="8"/>
  <c r="AZ106" i="8"/>
  <c r="AY106" i="8"/>
  <c r="AX106" i="8"/>
  <c r="AW106" i="8"/>
  <c r="AV106" i="8"/>
  <c r="AU106" i="8"/>
  <c r="AT106" i="8"/>
  <c r="AS106" i="8"/>
  <c r="AR106" i="8"/>
  <c r="AQ106" i="8"/>
  <c r="AP106" i="8"/>
  <c r="AO106" i="8"/>
  <c r="AN106" i="8"/>
  <c r="AM106" i="8"/>
  <c r="AK106" i="8"/>
  <c r="AJ106" i="8"/>
  <c r="AI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B106" i="8"/>
  <c r="BY106" i="8"/>
  <c r="BX106" i="8"/>
  <c r="AH106" i="8"/>
  <c r="BZ58" i="8"/>
  <c r="BV58" i="8"/>
  <c r="BU58" i="8"/>
  <c r="CP27" i="8" s="1"/>
  <c r="BT58" i="8"/>
  <c r="CP26" i="8" s="1"/>
  <c r="BS58" i="8"/>
  <c r="CP25" i="8" s="1"/>
  <c r="BR58" i="8"/>
  <c r="CP24" i="8" s="1"/>
  <c r="BQ58" i="8"/>
  <c r="CP23" i="8" s="1"/>
  <c r="BP58" i="8"/>
  <c r="CP22" i="8" s="1"/>
  <c r="BO58" i="8"/>
  <c r="CP21" i="8" s="1"/>
  <c r="BN58" i="8"/>
  <c r="CP20" i="8" s="1"/>
  <c r="BM58" i="8"/>
  <c r="CP19" i="8" s="1"/>
  <c r="BL58" i="8"/>
  <c r="CP18" i="8" s="1"/>
  <c r="BK58" i="8"/>
  <c r="CP17" i="8" s="1"/>
  <c r="BJ58" i="8"/>
  <c r="CP16" i="8" s="1"/>
  <c r="BI58" i="8"/>
  <c r="CP15" i="8" s="1"/>
  <c r="BH58" i="8"/>
  <c r="CP14" i="8" s="1"/>
  <c r="BG58" i="8"/>
  <c r="CP13" i="8" s="1"/>
  <c r="BF58" i="8"/>
  <c r="CP12" i="8" s="1"/>
  <c r="BE58" i="8"/>
  <c r="CP11" i="8" s="1"/>
  <c r="BD58" i="8"/>
  <c r="CP10" i="8" s="1"/>
  <c r="CG26" i="8"/>
  <c r="BB58" i="8"/>
  <c r="CG25" i="8" s="1"/>
  <c r="BA58" i="8"/>
  <c r="CG24" i="8" s="1"/>
  <c r="AZ58" i="8"/>
  <c r="CG23" i="8" s="1"/>
  <c r="AY58" i="8"/>
  <c r="CG22" i="8" s="1"/>
  <c r="AX58" i="8"/>
  <c r="CG21" i="8" s="1"/>
  <c r="AW58" i="8"/>
  <c r="CG20" i="8" s="1"/>
  <c r="AV58" i="8"/>
  <c r="CG19" i="8" s="1"/>
  <c r="AU58" i="8"/>
  <c r="CG18" i="8" s="1"/>
  <c r="AT58" i="8"/>
  <c r="CG17" i="8" s="1"/>
  <c r="AS58" i="8"/>
  <c r="CG16" i="8" s="1"/>
  <c r="AR58" i="8"/>
  <c r="CG15" i="8" s="1"/>
  <c r="AQ58" i="8"/>
  <c r="CG14" i="8" s="1"/>
  <c r="AP58" i="8"/>
  <c r="CG13" i="8" s="1"/>
  <c r="AO58" i="8"/>
  <c r="CG12" i="8" s="1"/>
  <c r="AN58" i="8"/>
  <c r="CG11" i="8" s="1"/>
  <c r="AM58" i="8"/>
  <c r="CG10" i="8" s="1"/>
  <c r="AI58" i="8"/>
  <c r="AH58" i="8"/>
  <c r="AC58" i="8"/>
  <c r="AA58" i="8"/>
  <c r="Z58" i="8"/>
  <c r="V58" i="8"/>
  <c r="S58" i="8"/>
  <c r="R58" i="8"/>
  <c r="Q58" i="8"/>
  <c r="O58" i="8"/>
  <c r="N58" i="8"/>
  <c r="L58" i="8"/>
  <c r="K58" i="8"/>
  <c r="J58" i="8"/>
  <c r="I58" i="8"/>
  <c r="H58" i="8"/>
  <c r="G58" i="8"/>
  <c r="CA58" i="8"/>
  <c r="CB58" i="8"/>
  <c r="BX58" i="8"/>
  <c r="BY58" i="8"/>
  <c r="AG58" i="8"/>
  <c r="X58" i="8"/>
  <c r="CB36" i="8"/>
  <c r="CA36" i="8"/>
  <c r="BZ36" i="8"/>
  <c r="BY36" i="8"/>
  <c r="BX36" i="8"/>
  <c r="BW36" i="8"/>
  <c r="BV36" i="8"/>
  <c r="BU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I36" i="8"/>
  <c r="AI110" i="8" s="1"/>
  <c r="AH36" i="8"/>
  <c r="AG36" i="8"/>
  <c r="AC36" i="8"/>
  <c r="AA36" i="8"/>
  <c r="Z36" i="8"/>
  <c r="Y36" i="8"/>
  <c r="X36" i="8"/>
  <c r="V36" i="8"/>
  <c r="S36" i="8"/>
  <c r="R36" i="8"/>
  <c r="Q36" i="8"/>
  <c r="O36" i="8"/>
  <c r="N36" i="8"/>
  <c r="L36" i="8"/>
  <c r="K36" i="8"/>
  <c r="J36" i="8"/>
  <c r="I36" i="8"/>
  <c r="H36" i="8"/>
  <c r="G36" i="8"/>
  <c r="E36" i="8"/>
  <c r="AK34" i="8"/>
  <c r="AO7" i="8"/>
  <c r="CR27" i="8"/>
  <c r="CR26" i="8"/>
  <c r="CR25" i="8"/>
  <c r="CR24" i="8"/>
  <c r="CR23" i="8"/>
  <c r="CR11" i="8"/>
  <c r="AO5" i="8"/>
  <c r="H160" i="17" l="1"/>
  <c r="F160" i="17"/>
  <c r="F168" i="17"/>
  <c r="H168" i="17"/>
  <c r="I9" i="9"/>
  <c r="C155" i="17" s="1"/>
  <c r="I23" i="9"/>
  <c r="C169" i="17" s="1"/>
  <c r="I20" i="9"/>
  <c r="C166" i="17" s="1"/>
  <c r="N110" i="8"/>
  <c r="BY110" i="8"/>
  <c r="BD110" i="8"/>
  <c r="BP110" i="8"/>
  <c r="BV110" i="8"/>
  <c r="D58" i="8"/>
  <c r="R110" i="8"/>
  <c r="CB110" i="8"/>
  <c r="AO110" i="8"/>
  <c r="BQ110" i="8"/>
  <c r="AS110" i="8"/>
  <c r="V110" i="8"/>
  <c r="BA110" i="8"/>
  <c r="J110" i="8"/>
  <c r="O110" i="8"/>
  <c r="X110" i="8"/>
  <c r="AC110" i="8"/>
  <c r="I110" i="8"/>
  <c r="CA110" i="8"/>
  <c r="AA110" i="8"/>
  <c r="BX110" i="8"/>
  <c r="CG30" i="8"/>
  <c r="CI30" i="8"/>
  <c r="CP30" i="8"/>
  <c r="BI110" i="8"/>
  <c r="AW110" i="8"/>
  <c r="AN110" i="8"/>
  <c r="AV110" i="8"/>
  <c r="CF23" i="8"/>
  <c r="CL23" i="8" s="1"/>
  <c r="AZ110" i="8"/>
  <c r="CO14" i="8"/>
  <c r="BH110" i="8"/>
  <c r="CO18" i="8"/>
  <c r="CS18" i="8" s="1"/>
  <c r="BL110" i="8"/>
  <c r="CO26" i="8"/>
  <c r="BT110" i="8"/>
  <c r="Q110" i="8"/>
  <c r="CO19" i="8"/>
  <c r="CS19" i="8" s="1"/>
  <c r="BM110" i="8"/>
  <c r="L110" i="8"/>
  <c r="CF13" i="8"/>
  <c r="AP110" i="8"/>
  <c r="CF17" i="8"/>
  <c r="AT110" i="8"/>
  <c r="CF21" i="8"/>
  <c r="CL21" i="8" s="1"/>
  <c r="AX110" i="8"/>
  <c r="CF25" i="8"/>
  <c r="BB110" i="8"/>
  <c r="CO12" i="8"/>
  <c r="BF110" i="8"/>
  <c r="CO16" i="8"/>
  <c r="BJ110" i="8"/>
  <c r="CO20" i="8"/>
  <c r="BN110" i="8"/>
  <c r="CO24" i="8"/>
  <c r="BR110" i="8"/>
  <c r="BZ110" i="8"/>
  <c r="H110" i="8"/>
  <c r="CF15" i="8"/>
  <c r="AR110" i="8"/>
  <c r="K110" i="8"/>
  <c r="CO11" i="8"/>
  <c r="BE110" i="8"/>
  <c r="CO27" i="8"/>
  <c r="BU110" i="8"/>
  <c r="S110" i="8"/>
  <c r="Z110" i="8"/>
  <c r="AH110" i="8"/>
  <c r="AM110" i="8"/>
  <c r="CF14" i="8"/>
  <c r="AQ110" i="8"/>
  <c r="AU110" i="8"/>
  <c r="CF22" i="8"/>
  <c r="CL22" i="8" s="1"/>
  <c r="AY110" i="8"/>
  <c r="CF26" i="8"/>
  <c r="BC110" i="8"/>
  <c r="BG110" i="8"/>
  <c r="BK110" i="8"/>
  <c r="CO21" i="8"/>
  <c r="BO110" i="8"/>
  <c r="BS110" i="8"/>
  <c r="M20" i="8"/>
  <c r="F36" i="8"/>
  <c r="AF19" i="8"/>
  <c r="AL19" i="8" s="1"/>
  <c r="E58" i="8"/>
  <c r="AE42" i="8"/>
  <c r="AL42" i="8" s="1"/>
  <c r="M46" i="8"/>
  <c r="AF46" i="8"/>
  <c r="AL46" i="8" s="1"/>
  <c r="M66" i="8"/>
  <c r="AF66" i="8"/>
  <c r="D36" i="8"/>
  <c r="AE13" i="8"/>
  <c r="AL13" i="8" s="1"/>
  <c r="M47" i="8"/>
  <c r="AF47" i="8"/>
  <c r="AL47" i="8" s="1"/>
  <c r="AF67" i="8"/>
  <c r="AL67" i="8" s="1"/>
  <c r="AE62" i="8"/>
  <c r="AE80" i="8" s="1"/>
  <c r="M62" i="8"/>
  <c r="M19" i="8"/>
  <c r="F58" i="8"/>
  <c r="M67" i="8"/>
  <c r="M42" i="8"/>
  <c r="E25" i="9"/>
  <c r="E11" i="9"/>
  <c r="I11" i="9" s="1"/>
  <c r="C157" i="17" s="1"/>
  <c r="E24" i="9"/>
  <c r="I24" i="9" s="1"/>
  <c r="C170" i="17" s="1"/>
  <c r="E26" i="9"/>
  <c r="E17" i="9"/>
  <c r="I17" i="9" s="1"/>
  <c r="E18" i="9"/>
  <c r="I18" i="9" s="1"/>
  <c r="E10" i="9"/>
  <c r="I10" i="9" s="1"/>
  <c r="C156" i="17" s="1"/>
  <c r="E12" i="9"/>
  <c r="E13" i="9"/>
  <c r="I13" i="9" s="1"/>
  <c r="C159" i="17" s="1"/>
  <c r="E15" i="9"/>
  <c r="I15" i="9" s="1"/>
  <c r="E19" i="9"/>
  <c r="I19" i="9" s="1"/>
  <c r="E16" i="9"/>
  <c r="I16" i="9" s="1"/>
  <c r="AL106" i="8"/>
  <c r="CF12" i="8"/>
  <c r="CO15" i="8"/>
  <c r="CF20" i="8"/>
  <c r="CL20" i="8" s="1"/>
  <c r="CF16" i="8"/>
  <c r="CF24" i="8"/>
  <c r="CJ12" i="8"/>
  <c r="CJ11" i="8"/>
  <c r="CR21" i="8"/>
  <c r="CO22" i="8"/>
  <c r="CO23" i="8"/>
  <c r="CO10" i="8"/>
  <c r="CS10" i="8" s="1"/>
  <c r="CF10" i="8"/>
  <c r="AB36" i="8"/>
  <c r="CJ13" i="8"/>
  <c r="CJ14" i="8"/>
  <c r="CR20" i="8"/>
  <c r="CO25" i="8"/>
  <c r="Y58" i="8"/>
  <c r="Y110" i="8" s="1"/>
  <c r="CO13" i="8"/>
  <c r="CO17" i="8"/>
  <c r="CF18" i="8"/>
  <c r="CF19" i="8"/>
  <c r="CL19" i="8" s="1"/>
  <c r="AB58" i="8"/>
  <c r="BW58" i="8"/>
  <c r="BW110" i="8" s="1"/>
  <c r="CJ10" i="8"/>
  <c r="CF11" i="8"/>
  <c r="CR22" i="8"/>
  <c r="W58" i="8"/>
  <c r="I168" i="17" l="1"/>
  <c r="I160" i="17"/>
  <c r="H170" i="17"/>
  <c r="F170" i="17"/>
  <c r="H166" i="17"/>
  <c r="F166" i="17"/>
  <c r="F155" i="17"/>
  <c r="H155" i="17"/>
  <c r="F157" i="17"/>
  <c r="H157" i="17"/>
  <c r="F169" i="17"/>
  <c r="H169" i="17"/>
  <c r="F156" i="17"/>
  <c r="H156" i="17"/>
  <c r="I156" i="17" s="1"/>
  <c r="E116" i="8"/>
  <c r="I25" i="9"/>
  <c r="C171" i="17" s="1"/>
  <c r="I12" i="9"/>
  <c r="C158" i="17" s="1"/>
  <c r="I26" i="9"/>
  <c r="C172" i="17" s="1"/>
  <c r="CR30" i="8"/>
  <c r="M80" i="8"/>
  <c r="AF80" i="8"/>
  <c r="CL13" i="8"/>
  <c r="CS14" i="8"/>
  <c r="CL18" i="8"/>
  <c r="AB110" i="8"/>
  <c r="CL12" i="8"/>
  <c r="CL15" i="8"/>
  <c r="CS13" i="8"/>
  <c r="C110" i="8"/>
  <c r="CL11" i="8"/>
  <c r="CS15" i="8"/>
  <c r="CL14" i="8"/>
  <c r="CS12" i="8"/>
  <c r="CS17" i="8"/>
  <c r="CL10" i="8"/>
  <c r="CL16" i="8"/>
  <c r="CS11" i="8"/>
  <c r="CS16" i="8"/>
  <c r="CL17" i="8"/>
  <c r="G110" i="8"/>
  <c r="CF30" i="8"/>
  <c r="CO30" i="8"/>
  <c r="AE36" i="8"/>
  <c r="AE58" i="8"/>
  <c r="AL36" i="8"/>
  <c r="AF58" i="8"/>
  <c r="AG110" i="8"/>
  <c r="AL66" i="8"/>
  <c r="AL62" i="8"/>
  <c r="AF36" i="8"/>
  <c r="M36" i="8"/>
  <c r="D110" i="8"/>
  <c r="M58" i="8"/>
  <c r="E115" i="8"/>
  <c r="E117" i="8"/>
  <c r="AD117" i="8"/>
  <c r="AD58" i="8"/>
  <c r="AD116" i="8" s="1"/>
  <c r="AD36" i="8"/>
  <c r="AL58" i="8"/>
  <c r="CJ30" i="8"/>
  <c r="CT30" i="8" s="1"/>
  <c r="U36" i="8"/>
  <c r="P36" i="8"/>
  <c r="AJ58" i="8"/>
  <c r="T36" i="8"/>
  <c r="AJ36" i="8"/>
  <c r="P58" i="8"/>
  <c r="AK58" i="8"/>
  <c r="U58" i="8"/>
  <c r="T58" i="8"/>
  <c r="I155" i="17" l="1"/>
  <c r="I170" i="17"/>
  <c r="I157" i="17"/>
  <c r="F158" i="17"/>
  <c r="H158" i="17"/>
  <c r="H171" i="17"/>
  <c r="F171" i="17"/>
  <c r="I166" i="17"/>
  <c r="I169" i="17"/>
  <c r="H172" i="17"/>
  <c r="F172" i="17"/>
  <c r="AL80" i="8"/>
  <c r="CS30" i="8"/>
  <c r="CL30" i="8"/>
  <c r="F110" i="8"/>
  <c r="E110" i="8"/>
  <c r="T110" i="8"/>
  <c r="P110" i="8"/>
  <c r="M110" i="8"/>
  <c r="AJ110" i="8"/>
  <c r="U110" i="8"/>
  <c r="AD110" i="8"/>
  <c r="AE110" i="8"/>
  <c r="AF110" i="8"/>
  <c r="W36" i="8"/>
  <c r="W110" i="8" s="1"/>
  <c r="AD115" i="8"/>
  <c r="AK36" i="8"/>
  <c r="AK110" i="8" s="1"/>
  <c r="I171" i="17" l="1"/>
  <c r="I158" i="17"/>
  <c r="I172" i="17"/>
  <c r="E118" i="8"/>
  <c r="AL110" i="8"/>
  <c r="I178" i="17" l="1"/>
  <c r="I196" i="17" s="1"/>
  <c r="D14" i="1" s="1"/>
  <c r="I23" i="6"/>
  <c r="G22" i="6"/>
  <c r="D22" i="6"/>
  <c r="D25" i="6" s="1"/>
  <c r="C6" i="3"/>
  <c r="C5" i="1"/>
  <c r="D19" i="1" l="1"/>
  <c r="F19" i="1" s="1"/>
  <c r="F25" i="1" s="1"/>
  <c r="D13" i="5" s="1"/>
  <c r="C5" i="3"/>
  <c r="C8" i="3"/>
  <c r="C4" i="1"/>
  <c r="O8" i="6" l="1"/>
  <c r="O16" i="6" l="1"/>
  <c r="O11" i="6"/>
  <c r="L22" i="6" l="1"/>
  <c r="F25" i="6"/>
  <c r="W25" i="6" s="1"/>
  <c r="O25" i="6" s="1"/>
  <c r="D19" i="5"/>
  <c r="B21" i="5" l="1"/>
  <c r="G20" i="5"/>
  <c r="G24" i="5" s="1"/>
</calcChain>
</file>

<file path=xl/sharedStrings.xml><?xml version="1.0" encoding="utf-8"?>
<sst xmlns="http://schemas.openxmlformats.org/spreadsheetml/2006/main" count="5531" uniqueCount="2477">
  <si>
    <t>แบบสรุปค่าก่อสร้าง</t>
  </si>
  <si>
    <t>รายการ</t>
  </si>
  <si>
    <t>รวมค่าก่อสร้าง</t>
  </si>
  <si>
    <t>สรุป</t>
  </si>
  <si>
    <t xml:space="preserve"> </t>
  </si>
  <si>
    <t>หมายเหตุ</t>
  </si>
  <si>
    <t>ตร.ม.</t>
  </si>
  <si>
    <t>งานผนัง</t>
  </si>
  <si>
    <t>ม.</t>
  </si>
  <si>
    <t>งานผิวผนัง</t>
  </si>
  <si>
    <t>ภาษีมูลค่าเพิ่ม</t>
  </si>
  <si>
    <t>ลำดับที่</t>
  </si>
  <si>
    <t>หน่วย</t>
  </si>
  <si>
    <t>จำนวน</t>
  </si>
  <si>
    <t>ค่าวัสดุ</t>
  </si>
  <si>
    <t>ค่าแรงงาน</t>
  </si>
  <si>
    <t>จำนวนเงิน</t>
  </si>
  <si>
    <t>รวมค่าวัสดุและค่าแรงงาน</t>
  </si>
  <si>
    <t>ชื่อโครงการ</t>
  </si>
  <si>
    <t>สถานที่ก่อสร้าง</t>
  </si>
  <si>
    <t>แบบเลขที่</t>
  </si>
  <si>
    <t>-</t>
  </si>
  <si>
    <t>เจ้าของโครงการ</t>
  </si>
  <si>
    <t>หน่วย : บาท</t>
  </si>
  <si>
    <t>ค่างานต้นทุน</t>
  </si>
  <si>
    <t>Factor F</t>
  </si>
  <si>
    <t>ค่าก่อสร้าง</t>
  </si>
  <si>
    <t>หมวดงานระบบสุขาภิบาล</t>
  </si>
  <si>
    <t>รวม</t>
  </si>
  <si>
    <t>เงื่อนไขการใช้ตาราง Factor F</t>
  </si>
  <si>
    <t>แบบ ปร.5 (ข)</t>
  </si>
  <si>
    <t>แบบสรุปค่าครุภัณฑ์จัดซื้อ</t>
  </si>
  <si>
    <t>กลุ่มงาน / งาน</t>
  </si>
  <si>
    <t>ค่างาน</t>
  </si>
  <si>
    <t>แบบสรุปราคากลางงานก่อสร้างอาคาร</t>
  </si>
  <si>
    <t>ราคาต่อหน่วย</t>
  </si>
  <si>
    <t>ประตู</t>
  </si>
  <si>
    <t>ชุด</t>
  </si>
  <si>
    <t>งานผนังและผิวผนัง</t>
  </si>
  <si>
    <t>งานทาสี</t>
  </si>
  <si>
    <t>เหมา</t>
  </si>
  <si>
    <t>หน้าต่าง</t>
  </si>
  <si>
    <t>เงินประกันผลงานหัก   0      %</t>
  </si>
  <si>
    <t>งาน</t>
  </si>
  <si>
    <t xml:space="preserve">แบบ ปร.6 </t>
  </si>
  <si>
    <t>วิธีคำนวณเทียบอัตราส่วนเพื่อหาค่า FACTOR F</t>
  </si>
  <si>
    <t>กรณีค่างานอยู่ระหว่างช่วงของค่างานต้นทุนที่กำหนดในตาราง Factor F ให้เทียบอัตราส่วน เพื่อหา Factor F  ดังนี้</t>
  </si>
  <si>
    <t>สูตร</t>
  </si>
  <si>
    <t>ต้องการหาค่า Factor F ของค่างานต้นทุน</t>
  </si>
  <si>
    <t>=</t>
  </si>
  <si>
    <t>A</t>
  </si>
  <si>
    <t>บาท</t>
  </si>
  <si>
    <t>ค่า Factor F</t>
  </si>
  <si>
    <t>D</t>
  </si>
  <si>
    <t>(</t>
  </si>
  <si>
    <t>E</t>
  </si>
  <si>
    <t>)</t>
  </si>
  <si>
    <t>B</t>
  </si>
  <si>
    <t>C</t>
  </si>
  <si>
    <t>ค่าวัสดุและค่าแรงงาน</t>
  </si>
  <si>
    <t>รวมเป็นเงินประมาณ</t>
  </si>
  <si>
    <t>เงื่อนไข</t>
  </si>
  <si>
    <t>เงินล่วงหน้าจ่าย</t>
  </si>
  <si>
    <t>ดอกเบี้ยเงินกู้</t>
  </si>
  <si>
    <t>ต่อปี</t>
  </si>
  <si>
    <t>เงินประกันผลงานหัก</t>
  </si>
  <si>
    <t>เมื่อ</t>
  </si>
  <si>
    <t>ค่างานต้นทุนตัวต่ำกว่าค่างานต้นทุน A</t>
  </si>
  <si>
    <t>ค่างานต้นทุนตัวสูงกว่าค่างานต้นทุน A</t>
  </si>
  <si>
    <t>ค่า Factor F ของค่างานต้นทุน B</t>
  </si>
  <si>
    <t>ค่า Factor F ของค่างานต้นทุน C</t>
  </si>
  <si>
    <t>แทนค่าสูตร</t>
  </si>
  <si>
    <t>x</t>
  </si>
  <si>
    <t>ค่าFactor F</t>
  </si>
  <si>
    <t>ท่อน</t>
  </si>
  <si>
    <t>งานพื้นและผิวพื้น</t>
  </si>
  <si>
    <t>หมวดงานโครงสร้าง</t>
  </si>
  <si>
    <t xml:space="preserve">หมวดงานสถาปัตยกรรม </t>
  </si>
  <si>
    <t>หมวดงานระบบปรับอากาศและระบบระบายอากาศ</t>
  </si>
  <si>
    <t>หมวดงานเตรียมการก่อสร้างและรื้อถอน</t>
  </si>
  <si>
    <t>งานรื้อถอนพร้อมขนทิ้ง</t>
  </si>
  <si>
    <t>งานรื้อถอนฝ้าเพดาน</t>
  </si>
  <si>
    <t>ลบ.ม.</t>
  </si>
  <si>
    <t>งานรื้อถอนห้องน้ำ</t>
  </si>
  <si>
    <t>ต้น</t>
  </si>
  <si>
    <t>กก.</t>
  </si>
  <si>
    <t>ผนัง</t>
  </si>
  <si>
    <t>งานฝ้าเพดาน</t>
  </si>
  <si>
    <t xml:space="preserve"> - ฝ้า GYPSUM BOARD ขอบลาด หนา 9 มม. โครงคร่าว GALVANIZED หนา 1.2 มม.</t>
  </si>
  <si>
    <t xml:space="preserve"> งานประตู-หน้าต่าง</t>
  </si>
  <si>
    <t xml:space="preserve">งานสุขภัณฑ์ พร้อมอุปกรณ์ครบชุด  </t>
  </si>
  <si>
    <t>ตัว</t>
  </si>
  <si>
    <t>P</t>
  </si>
  <si>
    <t xml:space="preserve"> - งานหล่อเคาน์เตอร์</t>
  </si>
  <si>
    <t xml:space="preserve">     • ปูนซีเมนต์</t>
  </si>
  <si>
    <t>ถุง</t>
  </si>
  <si>
    <t xml:space="preserve">     • ทรายหยาบ</t>
  </si>
  <si>
    <t xml:space="preserve">     • หิน</t>
  </si>
  <si>
    <t xml:space="preserve">     • ไม้แบบหล่อคอนกรีต</t>
  </si>
  <si>
    <t xml:space="preserve"> - ทาสีฝ้าเพดาน </t>
  </si>
  <si>
    <t>ผนังตกแต่ง</t>
  </si>
  <si>
    <t>งานสถาปัตยกรรมตกแต่งภายนอก</t>
  </si>
  <si>
    <t>งานระบบปรับอากาศ</t>
  </si>
  <si>
    <t>งานระบบระบายอากาศ</t>
  </si>
  <si>
    <t xml:space="preserve"> รวมค่าก่อสร้าง</t>
  </si>
  <si>
    <t xml:space="preserve"> รายการแสดงราคา  งานออกแบบปรับปรุง</t>
  </si>
  <si>
    <t>ชั้น 1</t>
  </si>
  <si>
    <t>งานรื้อถอนพื้นผิวกระเบื้อง</t>
  </si>
  <si>
    <t xml:space="preserve">งานรื้อถอนผนังก่ออิฐฉาบปูน </t>
  </si>
  <si>
    <t xml:space="preserve">     • วงกบหน้าต่างอลูมิเนียมบานเลื่อนพร้อมช่องแสง</t>
  </si>
  <si>
    <t xml:space="preserve">     • วงกบช่องแสงอลูมิเนียมติดตาย</t>
  </si>
  <si>
    <t>ชั้น 2</t>
  </si>
  <si>
    <t>ชั้น 3</t>
  </si>
  <si>
    <t>รวมราคา 3.1</t>
  </si>
  <si>
    <t>รวมราคา 3.2</t>
  </si>
  <si>
    <t xml:space="preserve">งานสถาปัตยกรรม </t>
  </si>
  <si>
    <t>3.2.1</t>
  </si>
  <si>
    <t xml:space="preserve"> - ฝ้าท้องพื้น</t>
  </si>
  <si>
    <t>3.1.1</t>
  </si>
  <si>
    <t>3.1.2</t>
  </si>
  <si>
    <t>3.1.3</t>
  </si>
  <si>
    <t>3.1.4</t>
  </si>
  <si>
    <t>3.1.5</t>
  </si>
  <si>
    <t>3.1.6</t>
  </si>
  <si>
    <t>บัญชีปริมาณและราคา</t>
  </si>
  <si>
    <t xml:space="preserve">ปร.4 </t>
  </si>
  <si>
    <t>รวมค่าก่อสร้างทั้งโครงการ/งานก่อสร้าง</t>
  </si>
  <si>
    <t>มหาวิทยาลัยเทคโนโลยีราชมงคลอีสาน วิทยาเขตขอนแก่น ต.ในเมือง อ.เมืองขอนแก่น จ.ขอนแก่น</t>
  </si>
  <si>
    <t>มหาวิทยาลัยเทคโนโลยีราชมงคลอีสาน วิทยาเขตขอนแก่น</t>
  </si>
  <si>
    <t>เจ้าของโครงการ :  มหาวิทยาลัยเทคโนโลยีราชมงคลอีสาน วิทยาเขตขอนแก่น</t>
  </si>
  <si>
    <t xml:space="preserve"> สถานที่ : มหาวิทยาลัยเทคโนโลยีราชมงคลอีสาน วิทยาเขตขอนแก่น ต.ในเมือง อ.เมืองขอนแก่น จ.ขอนแก่น</t>
  </si>
  <si>
    <t>ลำดับ</t>
  </si>
  <si>
    <t>เสาเอ็น</t>
  </si>
  <si>
    <t>ทับหลัง</t>
  </si>
  <si>
    <t>ฝ้าเพดาน</t>
  </si>
  <si>
    <t>งานประตู+หน้าต่าง</t>
  </si>
  <si>
    <t>หลังคา</t>
  </si>
  <si>
    <t>ครอบ</t>
  </si>
  <si>
    <t>ฉนวน</t>
  </si>
  <si>
    <t>ราง</t>
  </si>
  <si>
    <t>F1</t>
  </si>
  <si>
    <t>F2</t>
  </si>
  <si>
    <t>F3</t>
  </si>
  <si>
    <t>F4</t>
  </si>
  <si>
    <t>F5</t>
  </si>
  <si>
    <t>ปูนทราย</t>
  </si>
  <si>
    <t>ผนังยิปซั่ม</t>
  </si>
  <si>
    <t>ก่ออิฐมวลเบา</t>
  </si>
  <si>
    <t>ก่ออิฐมอญ</t>
  </si>
  <si>
    <t>ผนังโครงเหล็ก</t>
  </si>
  <si>
    <t>ฉาบปูนเรียบ</t>
  </si>
  <si>
    <t>ฉาบปูนเรียบอิฐมอญ</t>
  </si>
  <si>
    <t>skim coat</t>
  </si>
  <si>
    <t>กรุกระเบื้อง</t>
  </si>
  <si>
    <t>ผนังซับเสียง</t>
  </si>
  <si>
    <t>ผนังบุผ้า</t>
  </si>
  <si>
    <t>0.10 ม.</t>
  </si>
  <si>
    <t>0.20 ม.</t>
  </si>
  <si>
    <t>C1</t>
  </si>
  <si>
    <t>C2</t>
  </si>
  <si>
    <t>C3</t>
  </si>
  <si>
    <t>C4</t>
  </si>
  <si>
    <t>สีทาภายนอก</t>
  </si>
  <si>
    <t>สีทาภายใน</t>
  </si>
  <si>
    <t>สีทาฝ้าเพดาน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</si>
  <si>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</si>
  <si>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</si>
  <si>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</si>
  <si>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</si>
  <si>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</si>
  <si>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</si>
  <si>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</si>
  <si>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</si>
  <si>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</si>
  <si>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</si>
  <si>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</si>
  <si>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</si>
  <si>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</si>
  <si>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</si>
  <si>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</si>
  <si>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</si>
  <si>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</si>
  <si>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</si>
  <si>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</si>
  <si>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</si>
  <si>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</si>
  <si>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</si>
  <si>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</si>
  <si>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</si>
  <si>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</si>
  <si>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</si>
  <si>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</si>
  <si>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</si>
  <si>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</si>
  <si>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</si>
  <si>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</si>
  <si>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</si>
  <si>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</si>
  <si>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</si>
  <si>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</si>
  <si>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</si>
  <si>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พื้น คสล.</t>
  </si>
  <si>
    <t>ปรับระดับ</t>
  </si>
  <si>
    <t>ครึ่งแผ่น</t>
  </si>
  <si>
    <t>เต็มแผ่น</t>
  </si>
  <si>
    <t>กรุซีเมนต์ บอร์ด</t>
  </si>
  <si>
    <t>อิฐมวลเบา</t>
  </si>
  <si>
    <t>ฝ้ายิบซัมบอร์ด</t>
  </si>
  <si>
    <t>คอนกรีต</t>
  </si>
  <si>
    <t>metal sheet</t>
  </si>
  <si>
    <t xml:space="preserve">หินขัด </t>
  </si>
  <si>
    <t xml:space="preserve">ปูกระเบื้อง </t>
  </si>
  <si>
    <t>ปูกระเบื้องยาง</t>
  </si>
  <si>
    <t>ขัดมัน</t>
  </si>
  <si>
    <t>ภายนอก</t>
  </si>
  <si>
    <t>ภายใน</t>
  </si>
  <si>
    <t>30x30</t>
  </si>
  <si>
    <t>กันชื้น</t>
  </si>
  <si>
    <t>60x60</t>
  </si>
  <si>
    <t>(ตร.ม.)</t>
  </si>
  <si>
    <t>(ม.)</t>
  </si>
  <si>
    <t>(ชุด)</t>
  </si>
  <si>
    <t>fl1</t>
  </si>
  <si>
    <t>fl2</t>
  </si>
  <si>
    <t>งานชั้นที่  1</t>
  </si>
  <si>
    <t>ห้องน้ำชาย 1</t>
  </si>
  <si>
    <t xml:space="preserve"> - D10</t>
  </si>
  <si>
    <t>ห้องน้ำหญิง 1</t>
  </si>
  <si>
    <t xml:space="preserve"> - D11</t>
  </si>
  <si>
    <t xml:space="preserve"> - D12</t>
  </si>
  <si>
    <t xml:space="preserve"> - D13</t>
  </si>
  <si>
    <t>ห้องน้ำชาย 2</t>
  </si>
  <si>
    <t xml:space="preserve"> - D14</t>
  </si>
  <si>
    <t>ห้องน้ำหญิง 2</t>
  </si>
  <si>
    <t xml:space="preserve"> - D15</t>
  </si>
  <si>
    <t xml:space="preserve"> - D16</t>
  </si>
  <si>
    <t xml:space="preserve"> - D17</t>
  </si>
  <si>
    <t>ห้องงานระบบ</t>
  </si>
  <si>
    <t>งานชั้นที่  2</t>
  </si>
  <si>
    <t>รวมปริมาณงานทั้งหมด</t>
  </si>
  <si>
    <t>Fl.1</t>
  </si>
  <si>
    <t>เสาเอ็น-ทับหลัง ชั้น 1</t>
  </si>
  <si>
    <t>Fl.2</t>
  </si>
  <si>
    <t>เสาเอ็น-ทับหลัง ชั้น 2</t>
  </si>
  <si>
    <t>sum</t>
  </si>
  <si>
    <t>งานสุขภัณฑ์</t>
  </si>
  <si>
    <t>ชั้น1</t>
  </si>
  <si>
    <t>ชั้น2</t>
  </si>
  <si>
    <t>งานชั้นที่  3</t>
  </si>
  <si>
    <t>งานตกแต่งอาคาร</t>
  </si>
  <si>
    <t>ทางเข้าหลัก</t>
  </si>
  <si>
    <t>ร้านกาแฟ</t>
  </si>
  <si>
    <t>ห้องจำลองบริษัททัวร์</t>
  </si>
  <si>
    <t>ห้องเรียน 4 ห้อง (ห้องละ 35 คน)</t>
  </si>
  <si>
    <t>ชมรมนักศึกษา</t>
  </si>
  <si>
    <t>สโมสรรักศึกษา</t>
  </si>
  <si>
    <t>โถงทางเดินและพื้นที่ส่วนกลาง</t>
  </si>
  <si>
    <t xml:space="preserve">ห้องน้ำชาย </t>
  </si>
  <si>
    <t xml:space="preserve">ห้องน้ำหญิง </t>
  </si>
  <si>
    <t>บันได</t>
  </si>
  <si>
    <t>ห้องงานระบบประปา</t>
  </si>
  <si>
    <t>ห้องงานระบบไฟฟ้า</t>
  </si>
  <si>
    <t>ห้องเรียน สโล๊ป (slope)</t>
  </si>
  <si>
    <t>ห้องเรียนคอมพิวเตอร์ 3 ห้อง</t>
  </si>
  <si>
    <t>ห้องเรียน 70 คน</t>
  </si>
  <si>
    <t>ห้องเรียน 35 คน</t>
  </si>
  <si>
    <t xml:space="preserve">ห้องแม่บ้าน </t>
  </si>
  <si>
    <t>ห้องพักอาจารย์</t>
  </si>
  <si>
    <t>ห้องเรียน สโล๊ป (slope) 120 คน</t>
  </si>
  <si>
    <t>ห้องเรียน 120 คน</t>
  </si>
  <si>
    <t>GRC</t>
  </si>
  <si>
    <t>Fl.3</t>
  </si>
  <si>
    <t>เสาเอ็น-ทับหลัง ชั้น 3</t>
  </si>
  <si>
    <t>fl3</t>
  </si>
  <si>
    <t>ปูกระเบื้อง กันลื่น</t>
  </si>
  <si>
    <t>รวมทั้งหมด</t>
  </si>
  <si>
    <t>บาน</t>
  </si>
  <si>
    <t>อัน</t>
  </si>
  <si>
    <t>ตร.ม</t>
  </si>
  <si>
    <t>ลายไม้</t>
  </si>
  <si>
    <t xml:space="preserve"> - ทำระบบกันซึม CEMENT BASE (ห้องน้ำ)</t>
  </si>
  <si>
    <t xml:space="preserve"> - ชุดผนังห้องน้ำสำเร็จรูป หนาไม่น้อยกว่า 25 มม.</t>
  </si>
  <si>
    <t>LA.</t>
  </si>
  <si>
    <t>ลานกิจกรรม</t>
  </si>
  <si>
    <t>สวนญี่ปุ่น</t>
  </si>
  <si>
    <t>ลานจอดรถยนต์</t>
  </si>
  <si>
    <t>ลานจอดจักรยานต์</t>
  </si>
  <si>
    <t>ทางเดิน</t>
  </si>
  <si>
    <t>ก่ออิฐมอญครึ่งแผ่น</t>
  </si>
  <si>
    <t>ก่ออิฐมอญเต็มแผ่น</t>
  </si>
  <si>
    <t>F6</t>
  </si>
  <si>
    <t>ผสมน้ำยากันซึม</t>
  </si>
  <si>
    <t>ทาทับ PU</t>
  </si>
  <si>
    <t>ดาดฟ้า</t>
  </si>
  <si>
    <t>ฝ้าซับเสียง</t>
  </si>
  <si>
    <t>ฝ้าท้องพื้น</t>
  </si>
  <si>
    <t xml:space="preserve"> - ฝ้า GYPSUM BOARD ขอบลาด กันชื้น หนา 9 มม. โครงคร่าว GALVANIZED หนา 1.2 มม.</t>
  </si>
  <si>
    <t>Slab</t>
  </si>
  <si>
    <t>งานชั้นที่  ดาดฟ้า</t>
  </si>
  <si>
    <t>B1,C1</t>
  </si>
  <si>
    <t>B2,C2</t>
  </si>
  <si>
    <t>A1,A2</t>
  </si>
  <si>
    <t xml:space="preserve"> - ประตูอลูมิเนียมบานเลื่อนพร้อมช่องแสงติดตาย ขนาด 3.70 x 3.50 ม. (ร้านกาแฟ)</t>
  </si>
  <si>
    <t xml:space="preserve"> - ประตูอลูมิเนียมบานเลื่อนพร้อมช่องแสงติดตาย ขนาด 3.80 x 3.50 ม. (บันไดด้านหน้า)</t>
  </si>
  <si>
    <t xml:space="preserve"> - ประตูบานเลื่อน ขนาด 0.90 x 2.05 ม. (ร้านกาแฟ)</t>
  </si>
  <si>
    <t xml:space="preserve"> - ประตูอลูมิเนียมบานเปิดคู่พร้อมช่องแสงติดตาย ขนาด 4.58 x 3.50 ม. (ห้องข้างร้านกาแฟ,ห้องจำลองทัวร์)</t>
  </si>
  <si>
    <t xml:space="preserve"> - ประตูไม้บานเปิดเดี่ยว ขนาด 1.10 x 2.50 ม. (ห้องเรียน,สโมสรนักศึกษา)</t>
  </si>
  <si>
    <t xml:space="preserve"> - ประตูอลูมิเนียมบานเปิดเดี่ยวพร้อมช่องแสงติดตาย ขนาด 2.85 x 3.50 ม. (ชมรมนักศึกษา)</t>
  </si>
  <si>
    <t xml:space="preserve"> - ประตูไม้บานเปิดเดี่ยว พร้อมเกล็ดระบายอากาศ ขนาด 0.90 x 2.05 ม. (ห้องน้ำ)</t>
  </si>
  <si>
    <t xml:space="preserve"> - ประตูเหล็กบานเปิดคู่ ขนาด 1.50 x 2.00 ม. (ห้องระบบ)</t>
  </si>
  <si>
    <t xml:space="preserve"> - ประตูอลูมิเนียมบานเลื่อนพร้อมช่องแสงติดตาย ขนาด 2.70 x 3.50 ม. (บันไดด้านหลัง)</t>
  </si>
  <si>
    <t xml:space="preserve"> - ประตูไม้บานเปิดเดี่ยว ขนาด 1.10 x 2.50 ม. (ห้องแม่บ้าน,ห้องเก็บของ,ห้องระบบ2,3)</t>
  </si>
  <si>
    <t xml:space="preserve"> - ประตูเหล็กบานเปิดเดี่ยว ขนาด 1.10 x 2.00 ม. (บันไดดาดฟ้า)</t>
  </si>
  <si>
    <t xml:space="preserve"> - หน้าต่างอลูมิเนียมช่องแสงติดตาย ขนาด 12.95 x 7.50 ม. (ร้านกาแฟ)</t>
  </si>
  <si>
    <t xml:space="preserve"> - หน้าต่างอลูมิเนียมบานกระทุ้ง ขนาด 2.65 x 0.50 ม. (ห้องน้ำหญิง)</t>
  </si>
  <si>
    <t xml:space="preserve"> - หน้าต่างอลูมิเนียมบานกระทุ้ง ขนาด 1.35 x 0.50 ม. (ห้องน้ำหญิง)</t>
  </si>
  <si>
    <t xml:space="preserve"> - หน้าต่างอลูมิเนียมช่องแสงติดตาย ขนาด 0.40 x 12.50 ม. (บันไดด้านหน้า)</t>
  </si>
  <si>
    <t xml:space="preserve"> - หน้าต่างอลูมิเนียมบานกระทุ้งพร้อมช่องแสงติดตาย ขนาด 1.35 x 12.00 ม. (บันไดด้านหลัง)</t>
  </si>
  <si>
    <t xml:space="preserve"> - หน้าต่างอลูมิเนียมบานเปิดคู่ พร้อมช่องแสงติดตาย ขนาด 4.40 x 1.60 ม. (ห้องเรียน,สโมสรนักศึกษา,ห้องคอม)</t>
  </si>
  <si>
    <t xml:space="preserve"> - หน้าต่างอลูมิเนียมบานเปิดคู่ พร้อมช่องแสงติดตาย ขนาด 4.58 x 3.00 ม. (ห้องจำลอง,ห้องพักอาจารย์)</t>
  </si>
  <si>
    <t xml:space="preserve"> - หน้าต่างอลูมิเนียมบานเปิดคู่ ขนาด 1.50 x 1.60 ม. (ห้องเรียน)</t>
  </si>
  <si>
    <t xml:space="preserve"> - หน้าต่างอลูมิเนียมบานเปิดคู่ พร้อมช่องแสงติดตาย ขนาด 2.95 x 1.60 ม. (สโมสรนักศึกษา,แม่บ้าน,ห้องเรียน,เก็บของ)</t>
  </si>
  <si>
    <t xml:space="preserve"> - ประตูอลูมิเนียมบานเฟี้ยมกันห้อง ขนาด 10.70 x3.50 ม. (ห้องเรียน)</t>
  </si>
  <si>
    <t>flดาดฟ้า</t>
  </si>
  <si>
    <t xml:space="preserve"> - หน้าต่างอลูมิเนียมช่องแสงติดตาย ขนาด 3.70 x 3.50 ม. (ร้านกาแฟ,โถงทางเดิน)</t>
  </si>
  <si>
    <t xml:space="preserve"> - ประตูไม้บานเปิดคู่ ขนาด 1.70 x 2.50 ม. (ห้องสโล๊ป3)</t>
  </si>
  <si>
    <t xml:space="preserve"> - ประตูไม้บานเปิดคู่ ขนาด 1.50 x 2.50 ม. (ห้องคอม,ห้องสโล๊ป2)</t>
  </si>
  <si>
    <t>ชั้น หลังคา</t>
  </si>
  <si>
    <t>เฉลี่ย</t>
  </si>
  <si>
    <t>บาท/ตร.ม.</t>
  </si>
  <si>
    <t>3.1.7</t>
  </si>
  <si>
    <t>อาคาร</t>
  </si>
  <si>
    <t>กลุ่มงานที่ 2 /งาน..ครุภัณฑ์จัดซื้อ</t>
  </si>
  <si>
    <t>กลุ่มงานที่ 1/งาน. ค่างานก่อสร้าง</t>
  </si>
  <si>
    <t>3.1.8</t>
  </si>
  <si>
    <t>3.2.2</t>
  </si>
  <si>
    <t>หมวดงานระบบไฟฟ้าและสื่อสาร</t>
  </si>
  <si>
    <t xml:space="preserve"> - MDB</t>
  </si>
  <si>
    <t xml:space="preserve"> - Bare Copper 50 Sq.mm</t>
  </si>
  <si>
    <t xml:space="preserve"> - 3 Set x 3/4 inch x 10 feet Copper Clad Steel Ground Rod</t>
  </si>
  <si>
    <t>โคมไฟฟ้า</t>
  </si>
  <si>
    <t>SWITCH &amp; RECEPTACLE (สวิตช์ไฟฟ้าและเต้ารับ)</t>
  </si>
  <si>
    <t>- สวิทซ์ไฟทางเดียว 16A 250V</t>
  </si>
  <si>
    <t>- สวิทซ์ไฟสองทาง 16A 250V</t>
  </si>
  <si>
    <t>- สวิทซ์ไฟสี่ทาง 16A 250V</t>
  </si>
  <si>
    <t>- เต้ารับไฟฟ้า แบบเดี่ยว ขากลม-แบน 16A 250V มีกราวด์ ม่านนิรภัย</t>
  </si>
  <si>
    <t>- เต้ารับไฟฟ้า แบบคู่ ขากลม-แบน 16A 250V มีกราวด์ ม่านนิรภัย</t>
  </si>
  <si>
    <t>CABLE &amp; CONDUIT (งานสายไฟฟ้า  และท่อร้อยสายไฟ)</t>
  </si>
  <si>
    <t>สายเมน</t>
  </si>
  <si>
    <t>- ขนาด 1 x 50 ตร.มม. แรงดัน 450/750 โวตท์</t>
  </si>
  <si>
    <t>- ขนาด 1 x 16 ตร.มม. แรงดัน 450/750 โวตท์</t>
  </si>
  <si>
    <t>- ขนาด 1 x 10 ตร.มม. แรงดัน 450/750 โวตท์</t>
  </si>
  <si>
    <t>- ขนาด 1 x 6 ตร.มม. แรงดัน 450/750 โวตท์</t>
  </si>
  <si>
    <t>- ขนาด 1 x 4 ตร.มม. แรงดัน 450/750 โวตท์</t>
  </si>
  <si>
    <t>ท่อร้อยเดินสายไฟ</t>
  </si>
  <si>
    <t>IMC CONDUIT</t>
  </si>
  <si>
    <t>- ขนาด 1 x 2.5 ตร.มม. แรงดัน 450/750 โวตท์</t>
  </si>
  <si>
    <t>EMT CONDUIT</t>
  </si>
  <si>
    <t>- ขนาด 3/4 นิ้ว ท่อชนิด EMT.</t>
  </si>
  <si>
    <t>- ขนาด 1/2 นิ้ว ท่อชนิด EMT.</t>
  </si>
  <si>
    <t>ระบบสัญญาณแจ้งเหตุเพลิงไหม้</t>
  </si>
  <si>
    <t>- FIRE ALARM CONTROL PANEL (FCP)</t>
  </si>
  <si>
    <t>- GRAPHIC ANNUNCIATOR (A3)</t>
  </si>
  <si>
    <t>- LOCAL LAMP DRIVER ANNUNCIATOR MODULE W/C POWER SUPPLY</t>
  </si>
  <si>
    <t>สายสัญญาณ</t>
  </si>
  <si>
    <t>- สายไฟ FRC ขนาด 1.5 ตร.มม.</t>
  </si>
  <si>
    <t xml:space="preserve"> - Blunt End Air Terminal Aluminium 5/8" x 1000</t>
  </si>
  <si>
    <t xml:space="preserve"> - Round Saddle for Cable Thread Size 5/8", Aluminium</t>
  </si>
  <si>
    <t>Computer System</t>
  </si>
  <si>
    <t>ใบ</t>
  </si>
  <si>
    <t>CCTV System</t>
  </si>
  <si>
    <t>Lightning &amp; Grounding System</t>
  </si>
  <si>
    <t>งบประมาณค่าก่อสร้าง</t>
  </si>
  <si>
    <t>งานรื้อถอนบันไดพร้อมราว</t>
  </si>
  <si>
    <t>งานรื้อราวกันตก</t>
  </si>
  <si>
    <t xml:space="preserve">     • วงกบประตูบานเปิดคู่อลูมิเนียม</t>
  </si>
  <si>
    <t xml:space="preserve">     • วงกบประตูบานเปิดเดี่ยว</t>
  </si>
  <si>
    <t>พื้น</t>
  </si>
  <si>
    <t>ทาสี</t>
  </si>
  <si>
    <t>METAL SHEET</t>
  </si>
  <si>
    <t>FLASHING</t>
  </si>
  <si>
    <t>POLY</t>
  </si>
  <si>
    <t>PU</t>
  </si>
  <si>
    <t>ฝ้า</t>
  </si>
  <si>
    <t>A12</t>
  </si>
  <si>
    <t>(ตรม)</t>
  </si>
  <si>
    <t>(ม)</t>
  </si>
  <si>
    <t>งานชั้นที่ 1</t>
  </si>
  <si>
    <t>บันได ST-01</t>
  </si>
  <si>
    <t>บันได ST-02</t>
  </si>
  <si>
    <t>บันได ST-03</t>
  </si>
  <si>
    <t>งานชั้นที่ 2</t>
  </si>
  <si>
    <t>ผนัง ชั้น 1- ชั้นดาดฟ้า</t>
  </si>
  <si>
    <t xml:space="preserve"> - เสาเอ็นและเอ็นทับหลัง </t>
  </si>
  <si>
    <t>เมตร</t>
  </si>
  <si>
    <t xml:space="preserve"> - งานฉาบปูนเรียบอิฐมวลเบา</t>
  </si>
  <si>
    <t xml:space="preserve"> - งานฉาบปูนเรียบอิฐมอญ ภายนอก</t>
  </si>
  <si>
    <t xml:space="preserve"> - งานฉาบปูนเรียบอิฐมอญ ภายใน</t>
  </si>
  <si>
    <t xml:space="preserve"> - ทาสีกันซึม POLYURETHANE เพื่อป้องกันการรั่วซึม (F5)</t>
  </si>
  <si>
    <t>งานบันไดและราวกันตก</t>
  </si>
  <si>
    <t xml:space="preserve"> - งานตกแต่งบันได-และผิวพื้นบันได</t>
  </si>
  <si>
    <t>คิดในงานพื้น</t>
  </si>
  <si>
    <t>3.1.4.1</t>
  </si>
  <si>
    <t>งานชั้น 3</t>
  </si>
  <si>
    <t>งานหลังคา METAL SHEET</t>
  </si>
  <si>
    <t xml:space="preserve"> - FLASHING ครอบหลังคา METAL SHEET</t>
  </si>
  <si>
    <t>งานหลังคา</t>
  </si>
  <si>
    <t>3.1.8.1</t>
  </si>
  <si>
    <t xml:space="preserve">     • เหล็กกล่อง ขนาด 2"x1" หนา 2.3 มม. 2.44 kg/m</t>
  </si>
  <si>
    <t xml:space="preserve">     • เหล็กแบน ขนาด 2" หนา 6 มม. 2.36 kg/m</t>
  </si>
  <si>
    <t>บันได ST-05</t>
  </si>
  <si>
    <t xml:space="preserve"> - งานราวกันตก ST-01</t>
  </si>
  <si>
    <t xml:space="preserve">     • ลูกตั้ง ลูกนอน ชานพัก ทำผิวหินขัด</t>
  </si>
  <si>
    <t>บันได ST-06</t>
  </si>
  <si>
    <t xml:space="preserve"> - งานราวกันตก ST-02</t>
  </si>
  <si>
    <t>ราวกันตก ชั้น 1</t>
  </si>
  <si>
    <t xml:space="preserve"> - เหล็กกล่อง ขนาด 2"x1" หนา 2.3 มม. 2.44 kg/m</t>
  </si>
  <si>
    <t xml:space="preserve"> - เหล็กแบน ขนาด 2" หนา 6 มม. 2.36 kg/m</t>
  </si>
  <si>
    <t>3.1.4.2</t>
  </si>
  <si>
    <t>3.1.4.3</t>
  </si>
  <si>
    <t>3.1.4.5</t>
  </si>
  <si>
    <t>3.1.4.7</t>
  </si>
  <si>
    <t>3.1.4.8</t>
  </si>
  <si>
    <t>ขนาด</t>
  </si>
  <si>
    <t>ค่าแรง</t>
  </si>
  <si>
    <t>ราคาต่อตร.ม.</t>
  </si>
  <si>
    <t>วงกบ</t>
  </si>
  <si>
    <t>กรอบบาน</t>
  </si>
  <si>
    <t>บานทึบ</t>
  </si>
  <si>
    <t>บานรวม</t>
  </si>
  <si>
    <t>ลูกฟัก (ใส่จำนวนต่อบาน)</t>
  </si>
  <si>
    <t>ราคาบานรวม 1 บาน</t>
  </si>
  <si>
    <t>ช่องแสง (ใส่จำนวนต่อบาน)</t>
  </si>
  <si>
    <t>ปิดผิวลามิเนต</t>
  </si>
  <si>
    <t>ทาสีน้ำมันวงกบ/บาน</t>
  </si>
  <si>
    <t>fitting</t>
  </si>
  <si>
    <t>กว้าง</t>
  </si>
  <si>
    <t>สูง</t>
  </si>
  <si>
    <t>กว้างxสูง</t>
  </si>
  <si>
    <t>ขนาด(")</t>
  </si>
  <si>
    <t>จำนวน(ม.)</t>
  </si>
  <si>
    <t>ค่าวัสดุ/ม.</t>
  </si>
  <si>
    <t>ค่าแรง/ม.</t>
  </si>
  <si>
    <t>ค่าแรง/ตร.ม.</t>
  </si>
  <si>
    <t>รวมวัสดุ</t>
  </si>
  <si>
    <t>รวมแรง</t>
  </si>
  <si>
    <t>จำนวนบาน</t>
  </si>
  <si>
    <t>กรอบ(ม.)</t>
  </si>
  <si>
    <t>ค่าแรง/บาน</t>
  </si>
  <si>
    <t>บานทึบ(ตร.ม.)</t>
  </si>
  <si>
    <t>ค่าวัสดุ/ตร.ม.</t>
  </si>
  <si>
    <t>ค่าแรง/ตรม</t>
  </si>
  <si>
    <t>กระจก/เกล็ด</t>
  </si>
  <si>
    <t>ค.ยาวเกล็ด</t>
  </si>
  <si>
    <t>จน.เกล็ด</t>
  </si>
  <si>
    <t>จำนวน(ตร.ม.)</t>
  </si>
  <si>
    <t>ยาวรวม(ม.)</t>
  </si>
  <si>
    <t>จน.รวม(เกล็ด)</t>
  </si>
  <si>
    <t>ค่าแรง/เกล็ด</t>
  </si>
  <si>
    <t>ยาว</t>
  </si>
  <si>
    <t>ปิด=1/ไม่ปิด=0</t>
  </si>
  <si>
    <t>ค่าวัสดุ/ตร.,ม.</t>
  </si>
  <si>
    <t>จำนวน/ตร.ม.</t>
  </si>
  <si>
    <t>ค่าวัสดุ/ชุด</t>
  </si>
  <si>
    <t>ค่าแรง/ชุด</t>
  </si>
  <si>
    <t>Acc</t>
  </si>
  <si>
    <t xml:space="preserve"> - D</t>
  </si>
  <si>
    <t>ประตูวงกบไม้เนื้อแข็ง บานเปิดเดี่ยว/คู่ มี/ไม่มีเกล็ด</t>
  </si>
  <si>
    <t>1.00</t>
  </si>
  <si>
    <t>เกล็ด</t>
  </si>
  <si>
    <t>กระจกใส 6 มม.</t>
  </si>
  <si>
    <t>ประตูไม้เนื้อแข็ง บานลื่อนเดี่ยว ไม่มีเกล็ด</t>
  </si>
  <si>
    <t>ประตูวงกบไม้เนื้อแข็ง กรุไม้อัดยางกันชื้น บานเปิดเดี่ยว/คู่ มี/ไม่มีเกล็ด</t>
  </si>
  <si>
    <t>ประตูไม้เนื้อแข็ง กรุไม้อัดยางกันชื้น บานเลื่อนเดี่ยว</t>
  </si>
  <si>
    <t>ประตูวงกบไม้เนื้อแข็ง บานเปิดเดี่ยว ลูกฟักกระจกใสหนา 6 มม.</t>
  </si>
  <si>
    <t>ประตูวงกบไม้เนื้อแข็ง กรุไม้อัดยางกันชื้น บานเปิดเดี่ยว พร้อมช่องแสงกระจกฝ้า หนา 6 มม.</t>
  </si>
  <si>
    <t>กระจกฝ้า 6 มม.</t>
  </si>
  <si>
    <t>ประตูวงกบไม้เนื้อแข็ง บานเปิดเดี่ยว พร้อมช่องแสงกระจกลามิเนต หนา 3+3 มม.</t>
  </si>
  <si>
    <t>กระจกลามิเนต 3+3 มม.</t>
  </si>
  <si>
    <t>วงกบบานประตู UPVC บานเปิดเดี่ยว ลูกฟักเกล็ดระบายอากาศ</t>
  </si>
  <si>
    <t>https://www.onestockhome.com/th/items/44721736/lynn-upvc-door-frame-80x200-cm_doors_lynn-upvc-door_lynn?product_id=36679857</t>
  </si>
  <si>
    <t>https://www.onestockhome.com/th/items/98930275/lynn-upvc-door-bathroom-doors-white-mg2-70x200-cm_doors_lynn-upvc-door_lynn?product_id=36679857</t>
  </si>
  <si>
    <t>วงกบไม้เนื้อแข็ง บานประตู UPVC บานเปิดเดี่ยว</t>
  </si>
  <si>
    <t>https://www.onestockhome.com/th/products/63544440/lynn-upvc-door-bathroom-doors-white-mg1_doors_lynn-upvc-door_lynn</t>
  </si>
  <si>
    <t>วงกบไม้เนื้อแข็ง บานประตูสำเร็จรูป บานเปิดเดี่ยว</t>
  </si>
  <si>
    <t>บานประตูสำเร็จรูป บานเลื่อนเดี่ยว</t>
  </si>
  <si>
    <t>0.90</t>
  </si>
  <si>
    <t>2.05</t>
  </si>
  <si>
    <t>ประตูวงกบไม้เนื้อแข็ง กรุไม้อัดยางกันชื้น บานเปิดเดี่ยว ช่องชาร์ปวงกบรอบ</t>
  </si>
  <si>
    <t>0.40</t>
  </si>
  <si>
    <t>1.55</t>
  </si>
  <si>
    <t>ประตูอลูมิเนียม ลูกฟักกระจกใส/ฝ้า หนา 6 มม.
(ราคากระจกใส/ฝ้า ประตู&amp;หน้าต่าง 5000/ตร.ม. &amp; หน้าต่างบานกระทุ้งกระจกฝ้า 12000/ตร.ม.)</t>
  </si>
  <si>
    <t xml:space="preserve">ประตูอลูมิเนียม ลูกฟักกระจกลามิเนต หนา 3+3 มม.
(ราคาลามิเนต ประตู&amp;หน้าต่าง 8000/ตร.ม. &amp; หน้าต่างบานกระทุ้งลามิเนต 24000/ตร.ม.)
</t>
  </si>
  <si>
    <t xml:space="preserve"> - W</t>
  </si>
  <si>
    <t>หน้าต่างเหล็กลูกฟักตะแกรงเหล็กฉีก G10 (ราคา 4800/ตร.ม.)</t>
  </si>
  <si>
    <t>หน้าต่างวงกบไม้เนื้อแข็ง บานเปิดเดี่ยว ลูกฟักเกล็ดระบายอากาศ</t>
  </si>
  <si>
    <t>3.60</t>
  </si>
  <si>
    <t>3.00</t>
  </si>
  <si>
    <t>บานเปิดคู่ ประตูเหล็กทนไฟตามมาตรฐาน มอก. ทนไฟไม่น้อยกว่า 4 ชม.</t>
  </si>
  <si>
    <t xml:space="preserve"> - วงกบเหล็ก มียางกันควันติดที่วงกบ</t>
  </si>
  <si>
    <t>เช็คราคา</t>
  </si>
  <si>
    <t xml:space="preserve"> - บานเหล็ก COLD ROLLED หนา 1.6 มม. ภายในเสริม เหล็กตัว U กรุวัสดุใยหิน (ROCK WOOL)</t>
  </si>
  <si>
    <t xml:space="preserve"> - อุปกรณ์บานพับ ,กุญแจ ,มือจับ , โชคอัพ , กันชน ตามมาตรฐานผู้ผลิต</t>
  </si>
  <si>
    <t xml:space="preserve"> - D1</t>
  </si>
  <si>
    <t xml:space="preserve"> - D2</t>
  </si>
  <si>
    <t xml:space="preserve"> - D3</t>
  </si>
  <si>
    <t xml:space="preserve"> - D4</t>
  </si>
  <si>
    <t>3.70</t>
  </si>
  <si>
    <t xml:space="preserve"> - D5</t>
  </si>
  <si>
    <t xml:space="preserve"> - D6</t>
  </si>
  <si>
    <t xml:space="preserve"> - D7</t>
  </si>
  <si>
    <t>1.10</t>
  </si>
  <si>
    <t xml:space="preserve"> - D8</t>
  </si>
  <si>
    <t xml:space="preserve"> - D9</t>
  </si>
  <si>
    <t>วงกบบานประตูไม้เนื้อแข็ง กรุไม้อัดยางกันชื้น บานเปิดเดี่ยว</t>
  </si>
  <si>
    <t xml:space="preserve"> - W1</t>
  </si>
  <si>
    <t>1.50</t>
  </si>
  <si>
    <t xml:space="preserve"> - W2</t>
  </si>
  <si>
    <t xml:space="preserve"> - W3</t>
  </si>
  <si>
    <t xml:space="preserve"> - W4</t>
  </si>
  <si>
    <t>0.50</t>
  </si>
  <si>
    <t xml:space="preserve"> - W5</t>
  </si>
  <si>
    <t xml:space="preserve"> - W6</t>
  </si>
  <si>
    <t xml:space="preserve"> - W7</t>
  </si>
  <si>
    <t xml:space="preserve"> - W8</t>
  </si>
  <si>
    <t>1.90</t>
  </si>
  <si>
    <t xml:space="preserve"> - W9</t>
  </si>
  <si>
    <t xml:space="preserve"> - W10</t>
  </si>
  <si>
    <t>2.50</t>
  </si>
  <si>
    <t>วงกบบานประตูไม้เนื้อแข็ง กรุไม้อัดยางกันชื้น บานเปิดคู่</t>
  </si>
  <si>
    <t>10.8</t>
  </si>
  <si>
    <t>5.05</t>
  </si>
  <si>
    <t>1.35</t>
  </si>
  <si>
    <t xml:space="preserve"> - อ่างล้างหน้าแบบฝังเคาน์เตอร์ </t>
  </si>
  <si>
    <t xml:space="preserve">     • ก๊อกน้ำเดี่ยวอ่างล้างหน้า  </t>
  </si>
  <si>
    <t xml:space="preserve">     • ท่อน้ำทิ้งอ่างล้างหน้า  </t>
  </si>
  <si>
    <t xml:space="preserve">     • สะดืออ่างล้างหน้าแบบกด  </t>
  </si>
  <si>
    <t xml:space="preserve">     • สายน้ำดีอ่างล้างหน้า สายถักสแตนเลส</t>
  </si>
  <si>
    <t xml:space="preserve">     • STOP VALVE 1/2"  </t>
  </si>
  <si>
    <t xml:space="preserve"> - สายฉีดชำระ </t>
  </si>
  <si>
    <t xml:space="preserve"> - โถสุขภัณฑ์ สองชิ้น</t>
  </si>
  <si>
    <t xml:space="preserve"> - โถปัสสาวะชาย พร้อมก็อกแบบกด</t>
  </si>
  <si>
    <t xml:space="preserve"> - ก๊อกล้างพื้น</t>
  </si>
  <si>
    <t xml:space="preserve">     • เหล็กเส้นกลมผิวเรียบ (RB) ขนาด 9 มม. </t>
  </si>
  <si>
    <t xml:space="preserve">     • อุปกรณ์เบ็ดเตล็ด (ลวดผูกเหล็ก ,ตะปู ,ใบตัด ฯลฯ)</t>
  </si>
  <si>
    <t>ลบ.ม</t>
  </si>
  <si>
    <t>A2 ทาสีภายใน</t>
  </si>
  <si>
    <t>ยาว(ม.)</t>
  </si>
  <si>
    <t>พท.</t>
  </si>
  <si>
    <t>หัก</t>
  </si>
  <si>
    <t>เหลือ</t>
  </si>
  <si>
    <t>3.2.4</t>
  </si>
  <si>
    <t xml:space="preserve"> - ผนังก่ออิฐมวลเบา (A)</t>
  </si>
  <si>
    <t xml:space="preserve"> - ผนังก่ออิฐมอญ ครึ่งแผ่น (B)</t>
  </si>
  <si>
    <t xml:space="preserve"> - F3 พื้นโครงสร้าง ปรับระดับ ผิวขัดมันเรียบ</t>
  </si>
  <si>
    <t>B2 ทาสีภายใน</t>
  </si>
  <si>
    <t>B3 กรุกระเบื้อง</t>
  </si>
  <si>
    <t>B1</t>
  </si>
  <si>
    <t>B2</t>
  </si>
  <si>
    <t>C2 ทาสีภายใน</t>
  </si>
  <si>
    <t>งานตัดหัวเสาเข็ม</t>
  </si>
  <si>
    <t>งานทดสอบการรับน้ำหนักเสาเข็ม</t>
  </si>
  <si>
    <t>วิธี DYNAMIC LOAD TEST</t>
  </si>
  <si>
    <t>ฐานราก</t>
  </si>
  <si>
    <t>งานขุดหลุมทำฐานรากพร้อมฝังกลบ</t>
  </si>
  <si>
    <t>ทรายหยาบอัดแน่น</t>
  </si>
  <si>
    <t>คอนกรีตหยาบ 1:3:5</t>
  </si>
  <si>
    <t>คอนกรีตโครงสร้าง 240 KSC. CY.</t>
  </si>
  <si>
    <t>เหล็กเส้นกลมผิวเรียบ (SR24) ขนาด 9 มม.</t>
  </si>
  <si>
    <t>เหล็กเส้นกลมผิวข้ออ้อย (SD40) ขนาด 12 มม.</t>
  </si>
  <si>
    <t>ไม้แบบหล่อคอนกรีต</t>
  </si>
  <si>
    <t>ไม้โครงเคร่า</t>
  </si>
  <si>
    <t>ตะปู</t>
  </si>
  <si>
    <t>ลวดผูกเหล็ก</t>
  </si>
  <si>
    <t>เหล็กเส้นกลมผิวข้ออ้อย (SD40) ขนาด 16 มม.</t>
  </si>
  <si>
    <t>เสาตอม่อ</t>
  </si>
  <si>
    <t>เหล็กเส้นกลมผิวเรียบ (SR24) ขนาด 6 มม.</t>
  </si>
  <si>
    <t>คานชั้นที่ 1</t>
  </si>
  <si>
    <t>เหล็กเส้นกลมผิวข้ออ้อย (SD40) ขนาด 25 มม.</t>
  </si>
  <si>
    <t>B3</t>
  </si>
  <si>
    <t>พื้นชั้นที่ 1</t>
  </si>
  <si>
    <t>S1</t>
  </si>
  <si>
    <t>GS</t>
  </si>
  <si>
    <t>พื้นสำเร็จ PS</t>
  </si>
  <si>
    <t>แผ่นพื้นสำเร็จ ชนิดท้องเรียบ  LL=400 กก./ตร.ม.</t>
  </si>
  <si>
    <t>Wire mesh 4 มม @ 20 ซม.</t>
  </si>
  <si>
    <t>เสาชั้นที่ 1</t>
  </si>
  <si>
    <t>คานชั้นที่ 2</t>
  </si>
  <si>
    <t>B4</t>
  </si>
  <si>
    <t>เหล็กเส้นกลมผิวข้ออ้อย (SD40) ขนาด 20 มม.</t>
  </si>
  <si>
    <t>พื้นชั้นที่ 2</t>
  </si>
  <si>
    <t>เสาชั้นที่ 2</t>
  </si>
  <si>
    <t>คานชั้นดาดฟ้า</t>
  </si>
  <si>
    <t>พื้นชั้นดาดฟ้า</t>
  </si>
  <si>
    <t>งานอื่นๆ</t>
  </si>
  <si>
    <t>ค่างานต้น (ทุน) ล้านบาท</t>
  </si>
  <si>
    <r>
      <rPr>
        <sz val="14"/>
        <rFont val="Calibri"/>
        <family val="2"/>
      </rPr>
      <t>≤</t>
    </r>
    <r>
      <rPr>
        <sz val="11.2"/>
        <rFont val="TH Sarabun New"/>
        <family val="2"/>
      </rPr>
      <t xml:space="preserve">  </t>
    </r>
    <r>
      <rPr>
        <sz val="14"/>
        <rFont val="TH Sarabun New"/>
        <family val="2"/>
      </rPr>
      <t>0.5</t>
    </r>
  </si>
  <si>
    <r>
      <rPr>
        <sz val="14"/>
        <rFont val="Calibri"/>
        <family val="2"/>
      </rPr>
      <t>&gt;</t>
    </r>
    <r>
      <rPr>
        <sz val="11.2"/>
        <rFont val="TH Sarabun New"/>
        <family val="2"/>
      </rPr>
      <t xml:space="preserve">  </t>
    </r>
    <r>
      <rPr>
        <sz val="14"/>
        <rFont val="TH Sarabun New"/>
        <family val="2"/>
      </rPr>
      <t>500</t>
    </r>
  </si>
  <si>
    <t>ลบ.ฟ.</t>
  </si>
  <si>
    <t>โครงการปรับปรุงอาคาร 11 มหาวิทยาลัยเทคโนโลยีราชมงคลอีสาน วิทยาเขตขอนแก่น</t>
  </si>
  <si>
    <t xml:space="preserve"> - F5 พื้นโครงสร้าง ปรับระดับ ผิวขัดมันเรียบผสมน้ำยากันซึม ทับผิวหน้าด้วย POLYURETHANE</t>
  </si>
  <si>
    <t xml:space="preserve"> - ผนังโครงคร่าวกัลวาไนซ์ปิดทับแผ่นซีเมนต์บอร์ดชนิดกันน้ำ หนา 12 มม. (C)</t>
  </si>
  <si>
    <t xml:space="preserve"> - ผนังโครงคร่าวกัลวาไนซ์พร้อมติดตั้งฉนวนกันเสียง ปิดทับแผ่นยิปซั่มบอร์ด หนา 12 มม. (D)</t>
  </si>
  <si>
    <t xml:space="preserve"> - ทาสีผนัง สำหรับทาภายใน (2)</t>
  </si>
  <si>
    <t xml:space="preserve"> - ทาสีผนัง สำหรับทาภายนอก (1,4,5)</t>
  </si>
  <si>
    <t xml:space="preserve"> - กรุกระเบื้องแกรนิตโต้ ผิวด้าน สีเทา ขนาด 60 x 60 ม. (3)</t>
  </si>
  <si>
    <t xml:space="preserve"> - ฝ้า ACOUSTIC BOARD หนา 15.5 มม. ขนาด 0.60x0.60 ม. โครงคร่าว GALVANIZED หนา 1.2 มม.</t>
  </si>
  <si>
    <t xml:space="preserve"> - รางน้ำสแตนเลส 304 กว้าง 30 ซม. หนาไม่น้อยกว่า 1.2 มม. พับขึ้นรูปตามแบบ</t>
  </si>
  <si>
    <t xml:space="preserve">     • ลูกตั้ง ลูกนอน ชานพัก ปูกระเบื้องแกรนิตโต้ ผิวด้าน สีเทาอ่อน ขนาด 60x60 cm (F1)</t>
  </si>
  <si>
    <t xml:space="preserve"> - F0 พื้นโครงสร้างเดิม ปรับระดับ ปูกระเบื้องแกรนิตโต้ ผิวด้าน สีเทาอ่อน ขนาด 60x60 cm</t>
  </si>
  <si>
    <t xml:space="preserve"> - F0.1 พื้นโครงสร้างเดิม ปรับระดับ ปูกระเบื้อง ผิวด้าน สีเทาอ่อน ขนาด 60x60 cm</t>
  </si>
  <si>
    <t xml:space="preserve"> - F0.2 พื้นโครงสร้างเดิม ปรับระดับ ปูกระเบื้องยาง หนาไม่น้อยกว่า 2 มม. ขนาด 30x30 cm</t>
  </si>
  <si>
    <t xml:space="preserve"> - F1 พื้นโครงสร้าง ปรับระดับ ปูกระเบื้องแกรนิตโต้ ผิวด้าน สีเทาอ่อน ขนาด 60x60 cm</t>
  </si>
  <si>
    <t xml:space="preserve"> - F2 พื้นโครงสร้าง ปรับระดับ ปูกระเบื้องแกรนิตโต้ ผิวมัน สีเทาอ่อน ขนาด 60x60 cm</t>
  </si>
  <si>
    <t xml:space="preserve"> - F4 พื้นโครงสร้าง ปรับระดับ ปูกระเบื้องแกรนิตโต้ ผิวด้าน สีเบส ขนาด 60x60 cm</t>
  </si>
  <si>
    <t xml:space="preserve"> - F6 พื้นโครงสร้าง ปรับระดับ ปูกระเบื้องยาง หนาไม่น้อยกว่า 2 มม. ผิวกึ่งด้าน สีไม้วอลนัท ขนาด 30x30 cm</t>
  </si>
  <si>
    <t xml:space="preserve"> - F7 พื้นโครงสร้าง ปรับระดับ ปูกระเบื้องยาง หนาไม่น้อยกว่า 2 มม. ผิวมัน สีเทาอ่อน ขนาด 30x30 cm</t>
  </si>
  <si>
    <t>บันได ST-01 F1</t>
  </si>
  <si>
    <t>บันได ST-03 F1</t>
  </si>
  <si>
    <t>ทางลาด ST-04 F3</t>
  </si>
  <si>
    <t>บันได ST-05 F1</t>
  </si>
  <si>
    <t xml:space="preserve">     • จมูกบันไดอลูมิเนียม</t>
  </si>
  <si>
    <t>บันได ST-07</t>
  </si>
  <si>
    <t xml:space="preserve">     • เหล็กกล่อง ขนาด 3"x1 1/2" หนา 2.3 มม. 3.81 kg/m</t>
  </si>
  <si>
    <t xml:space="preserve"> - เหล็กกล่อง ขนาด 3"x1 1/2" หนา 2.3 มม. 3.81 kg/m</t>
  </si>
  <si>
    <t>บันได ST-06 F1</t>
  </si>
  <si>
    <t xml:space="preserve"> - ขีดร่องลายก้างปลา</t>
  </si>
  <si>
    <t>F7</t>
  </si>
  <si>
    <t>F8</t>
  </si>
  <si>
    <t>แบบ ปร.1(1)</t>
  </si>
  <si>
    <t>แบบฟอร์มการถอดแบบสำรวจรายการ ปริมาณงาน และวัสดุก่อสร้างทั่วไป</t>
  </si>
  <si>
    <t>เสาเอ็น-ทับหลัง</t>
  </si>
  <si>
    <t>BC1</t>
  </si>
  <si>
    <t>BD23</t>
  </si>
  <si>
    <t>ราคาสีทากันซึม POLYURETHANE Waterproof ขนาดถัง 20 กิโล ใช้งานได้ 2 กก./ ตร.ม./รองพื้นและทับหน้า 2 เที่ยว (ความหนา 1 มม.)</t>
  </si>
  <si>
    <t>สืบราคาอินเตอร์เน็ต</t>
  </si>
  <si>
    <t>บาท/ถัง</t>
  </si>
  <si>
    <t>พื้นที่ทา PU ทั้งหมด</t>
  </si>
  <si>
    <t>คิดเป็น</t>
  </si>
  <si>
    <t>ถัง</t>
  </si>
  <si>
    <t>ค่าวัสดุทั้งหมด</t>
  </si>
  <si>
    <t>ค่าแรงทั้งหมด</t>
  </si>
  <si>
    <t>ค่าวัสดุ/ตร.ม</t>
  </si>
  <si>
    <t>ค่าแรง/ตร.ม</t>
  </si>
  <si>
    <t>สีทากันซึม POLYURETHANE Waterproof ขนาดถัง 20 กิโล ใช้งานได้ 2 กก./ ตร.ม./รองพื้นและทับหน้า 2 เที่ยว (ความหนา 1 มม.)</t>
  </si>
  <si>
    <t>ปริมาณ</t>
  </si>
  <si>
    <t>กก./ถัง</t>
  </si>
  <si>
    <t>บาท/กก.</t>
  </si>
  <si>
    <t>การใช้งาน รองพื้นและทับหน้า 2 เที่ยว (ความหนา 1 มม.)</t>
  </si>
  <si>
    <t>กก./ตร.ม.</t>
  </si>
  <si>
    <t>C123</t>
  </si>
  <si>
    <t>รางน้ำ</t>
  </si>
  <si>
    <t>F0</t>
  </si>
  <si>
    <t>F0.1</t>
  </si>
  <si>
    <t>F0.2</t>
  </si>
  <si>
    <t>งานชั้นหลังคา</t>
  </si>
  <si>
    <t>บันได ST-07 F1</t>
  </si>
  <si>
    <t>ราวกันตก โถงทางเดิน ชั้น 2</t>
  </si>
  <si>
    <t>3.1.4.4</t>
  </si>
  <si>
    <t>3.1.4.6</t>
  </si>
  <si>
    <t>3.1.4.9</t>
  </si>
  <si>
    <t>บันได ST-03.1</t>
  </si>
  <si>
    <t>บันได ST-03.1 F1</t>
  </si>
  <si>
    <t xml:space="preserve"> - กระจกเงาติดผนัง ขนาด 2.80 x 0.80 ม. หนา 6 มม.  </t>
  </si>
  <si>
    <t xml:space="preserve"> - กระจกเงาติดผนัง ขนาด 3.20 x 0.80 ม. หนา 6 มม.  </t>
  </si>
  <si>
    <t>4.375</t>
  </si>
  <si>
    <t>3.50</t>
  </si>
  <si>
    <t xml:space="preserve">ประตูวงกบไม้เนื้อแข็ง กรุไม้อัดยางกันชื้น บานเปิดเดี่ยว พร้อมเกล็ดระบายอากาศ ลูกฟักกระจกฝ้า หนา 6 มม. </t>
  </si>
  <si>
    <t>ประตูวงกบไม้เนื้อแข็ง กรุไม้อัดยางกันชื้น บานเปิดคู่ พร้อมช่องแสงติดตาย ลูกฟักกระจกลามิเนตใสตัดแสง หนา 3+3 มม.</t>
  </si>
  <si>
    <t>วงกบบานประตูอลูมิเนียม บานเปิดเดี่ยวและบานเลื่อนสลับ พร้อมช่องแสงติดตาย ลูกฟักกระจกลามิเนตใสตัดแสง หนา 3+3 มม.</t>
  </si>
  <si>
    <t>วงกบบานประตูอลูมิเนียม บานเลื่อนคู่ พร้อมช่องแสงติดตาย ลูกฟักกระจกลามิเนตใสตัดแสง หนา 3+3 มม.</t>
  </si>
  <si>
    <t>วงกบบานประตูอลูมิเนียม บานเปิดคู่ พร้อมช่องแสงติดตาย ลูกฟักกระจกลามิเนตใสตัดแสง หนา 3+3 มม.</t>
  </si>
  <si>
    <t>วงกบบานประตูไม้เนื้อแข็ง กรุไม้อัดยางกันชื้น บานเปิดเดี่ยว ลูกฟักกระจกลามิเนตใส หนา 3+3 มม.</t>
  </si>
  <si>
    <t>วงกบบานประตูไม้เนื้อแข็ง ติดตั้งฉนวนกันเสียง กรุไม้อัดยางกันชื้น บานเปิดคู่</t>
  </si>
  <si>
    <t>3.45</t>
  </si>
  <si>
    <t>วงกบบานประตูเหล็กม้วน</t>
  </si>
  <si>
    <t>2.10</t>
  </si>
  <si>
    <t>3.80</t>
  </si>
  <si>
    <t>2.70</t>
  </si>
  <si>
    <t>1.85</t>
  </si>
  <si>
    <t>1.15</t>
  </si>
  <si>
    <t>2.00</t>
  </si>
  <si>
    <t>วงกบบานหน้าต่างอลูมิเนียม บานกระทุ้ง พร้อมช่องแสงติดตาย ลูกฟักกระจกลามิเนตใสตัดแสง หนา 3+3 มม.</t>
  </si>
  <si>
    <t>วงกบบานหน้าต่างอลูมิเนียม ช่องแสงติดตาย ลูกฟักกระจกลามิเนตใสตัดแสง หนา 4+4 มม.</t>
  </si>
  <si>
    <t>ประตูวงกบไม้เนื้อแข็ง กรุไม้อัดยางกันชื้น บานเปิดเดี่ยว พร้อมช่องแสงติดตาย ลูกฟักกระจกลามิเนตใส หนา 3+3 มม.</t>
  </si>
  <si>
    <t>วงกบบานหน้าต่างอลูมิเนียม บานกระทุ้ง ลูกฟักกระจกฝ้า หนา 3+3 มม.</t>
  </si>
  <si>
    <t>วงกบบานหน้าต่างอลูมิเนียม บานเลื่อนสลับ พร้อมช่องแสงติดตาย ลูกฟักกระจกลามิเนตใสตัดแสง หนา 3+3 มม.</t>
  </si>
  <si>
    <t>2.55</t>
  </si>
  <si>
    <t>วงกบบานหน้าต่างอลูมิเนียม ช่องแสงติดตาย ลูกฟักกระจกลามิเนตใสตัดแสง หนา 3+3 มม.</t>
  </si>
  <si>
    <t>2.20</t>
  </si>
  <si>
    <t>11.10</t>
  </si>
  <si>
    <t xml:space="preserve"> - W8'</t>
  </si>
  <si>
    <t>9.45</t>
  </si>
  <si>
    <t xml:space="preserve"> - W9'</t>
  </si>
  <si>
    <t>วงกบบานหน้าต่างอลูมิเนียม บานเลื่อนคู่ พร้อมช่องแสงติดตาย ลูกฟักกระจกลามิเนตใสตัดแสง หนา 3+3 มม.</t>
  </si>
  <si>
    <t xml:space="preserve"> - D14.1</t>
  </si>
  <si>
    <t xml:space="preserve"> - D14.2</t>
  </si>
  <si>
    <t xml:space="preserve"> - W11</t>
  </si>
  <si>
    <t>A145 ทาสีภายนอก</t>
  </si>
  <si>
    <t>B145 ทาสีภายนอก</t>
  </si>
  <si>
    <t>C145 ทาสีภายนอก</t>
  </si>
  <si>
    <t>D2 ทาสีภายใน</t>
  </si>
  <si>
    <t>\w9'*2+d13+d4*2</t>
  </si>
  <si>
    <t>\w2</t>
  </si>
  <si>
    <t>\d14.2</t>
  </si>
  <si>
    <t>\w11</t>
  </si>
  <si>
    <t>\d5</t>
  </si>
  <si>
    <t>\d4</t>
  </si>
  <si>
    <t>\w5*4</t>
  </si>
  <si>
    <t>\w10</t>
  </si>
  <si>
    <t>\w7</t>
  </si>
  <si>
    <t>\w6</t>
  </si>
  <si>
    <t>\d14</t>
  </si>
  <si>
    <t>\d2</t>
  </si>
  <si>
    <t>\d1</t>
  </si>
  <si>
    <t>\d14.1</t>
  </si>
  <si>
    <t>\d3</t>
  </si>
  <si>
    <t>\d15</t>
  </si>
  <si>
    <t>\w4</t>
  </si>
  <si>
    <t>\w3</t>
  </si>
  <si>
    <t>\w5</t>
  </si>
  <si>
    <t>\d6</t>
  </si>
  <si>
    <t>\w11+d4</t>
  </si>
  <si>
    <t>\d8</t>
  </si>
  <si>
    <t>\w3*2</t>
  </si>
  <si>
    <t>\d12</t>
  </si>
  <si>
    <t>\d9</t>
  </si>
  <si>
    <t>\d11</t>
  </si>
  <si>
    <t>\d7</t>
  </si>
  <si>
    <t>\w9*2</t>
  </si>
  <si>
    <t>\d10</t>
  </si>
  <si>
    <t>\d1+w6+d14+w6+w7*2</t>
  </si>
  <si>
    <t>\d2+d14+d2</t>
  </si>
  <si>
    <t>\w9'*2+w2+w11+d5*2+w5*4</t>
  </si>
  <si>
    <t>\d13+d4*2+d14.2+w11+d4*4</t>
  </si>
  <si>
    <t>\d13+w9'*2</t>
  </si>
  <si>
    <t>\d4*2</t>
  </si>
  <si>
    <t>\d4+w5</t>
  </si>
  <si>
    <t>\d2+w6+w7*2+w10</t>
  </si>
  <si>
    <t>\d1+w1</t>
  </si>
  <si>
    <t>A4</t>
  </si>
  <si>
    <t>\w5*2+w2+w11+w3*2+w5</t>
  </si>
  <si>
    <t>\d6*2+d4+w5*2+w11+d4</t>
  </si>
  <si>
    <t>\d12*2+d8+w11+w2+w5*2+d6*2</t>
  </si>
  <si>
    <t>\w11+w5*2</t>
  </si>
  <si>
    <t>\d8+w5</t>
  </si>
  <si>
    <t>\d8+w3*2</t>
  </si>
  <si>
    <t>\d6+w5*2</t>
  </si>
  <si>
    <t>\d4+w5*4+w11*2+d4</t>
  </si>
  <si>
    <t>\d6*2</t>
  </si>
  <si>
    <t>\w1</t>
  </si>
  <si>
    <t>\w3+w4</t>
  </si>
  <si>
    <t>\d3+w3+w4</t>
  </si>
  <si>
    <t>\d7*2+w9+w10+d10*2+d7+w9*2+w10</t>
  </si>
  <si>
    <t>\d7*2+w9+w10</t>
  </si>
  <si>
    <t>\d7+w9+w9+w10</t>
  </si>
  <si>
    <t>\d9*2+d12*2</t>
  </si>
  <si>
    <t>E145 ทาสีภายนอก</t>
  </si>
  <si>
    <t>E2 ทาสีภายใน</t>
  </si>
  <si>
    <t>\w8*2+w8'*2</t>
  </si>
  <si>
    <t>E5</t>
  </si>
  <si>
    <t>d16</t>
  </si>
  <si>
    <t>d17</t>
  </si>
  <si>
    <t>w12</t>
  </si>
  <si>
    <t>w13</t>
  </si>
  <si>
    <t xml:space="preserve"> - เหล็กกล่อง ขนาด 2"x2" หนา 0.23 มม. 3.34 kg/m.</t>
  </si>
  <si>
    <t>https://www.onestockhome.com/th/products/59587023/aluminium-sheet-1100_alloy-materials?item_id=38162141</t>
  </si>
  <si>
    <t>https://www.onestockhome.com/th/products/42874989/rockwool-safe-n-silent-pro-380_sound-insulation-materials_rockwool</t>
  </si>
  <si>
    <t>งานรื้อถอนผนังยิปซั่มบอร์ดพร้อมโครงคร่าว</t>
  </si>
  <si>
    <t>เครื่องปรับอากาศ (VRF/VRV AIR Conditioning System )</t>
  </si>
  <si>
    <t>6.1.1</t>
  </si>
  <si>
    <t>เครื่อง</t>
  </si>
  <si>
    <t>6.1.2</t>
  </si>
  <si>
    <t xml:space="preserve">ระบบไฟฟ้า และระบบควบคุม </t>
  </si>
  <si>
    <t xml:space="preserve"> ท่อไฟ ( Conduit )</t>
  </si>
  <si>
    <t xml:space="preserve"> สายไฟ ( Wiring  )</t>
  </si>
  <si>
    <t>Supports &amp; Accessories</t>
  </si>
  <si>
    <t xml:space="preserve">Safety Switch - Outdoor Type (เซฟตี้สวิทซ์ แบบ ไม่มีฟิวส์ ชนิดใช้ภายนอกอาคาร)  </t>
  </si>
  <si>
    <t xml:space="preserve"> - 3 ph 60 Amp</t>
  </si>
  <si>
    <t>EATON</t>
  </si>
  <si>
    <t xml:space="preserve"> - 3 ph 100 Amp</t>
  </si>
  <si>
    <t>ระบบท่อน้ำยา  ท่อน้ำทิ้ง ( Refrigerant Pipe &amp; Drain Pipe)</t>
  </si>
  <si>
    <t>6.2.1</t>
  </si>
  <si>
    <t xml:space="preserve">ท่อทองแดงชนิดม้วน (Soft Copper Pipe)     </t>
  </si>
  <si>
    <t xml:space="preserve"> -   Dia 1/4" (6.35 mm.) </t>
  </si>
  <si>
    <t>ข้อต่อ และอุปกรณ์ท่อ  (Fittings &amp; Accessories)</t>
  </si>
  <si>
    <t>เหล็กยึดท่อ (Hangers and Supports)</t>
  </si>
  <si>
    <t>6.2.2</t>
  </si>
  <si>
    <t xml:space="preserve">ท่อทองแดงชนิดเส้นแบบแอล (Hard Copper Pipe Type L)     </t>
  </si>
  <si>
    <t>MUELLER</t>
  </si>
  <si>
    <t>ค่าแรงจากบัญชีค่าแรง/ดำเนินการ</t>
  </si>
  <si>
    <t xml:space="preserve"> -   Dia 3/8" (9.5 mm.) </t>
  </si>
  <si>
    <t xml:space="preserve"> -   Dia 1/2" (12.7 mm.)  </t>
  </si>
  <si>
    <t xml:space="preserve"> -   Dia 5/8" (15.9 mm.) </t>
  </si>
  <si>
    <t xml:space="preserve"> -   Dia 3/4" (19.1 mm.) </t>
  </si>
  <si>
    <t xml:space="preserve"> -   Dia 7/8" (22.2 mm.) </t>
  </si>
  <si>
    <t xml:space="preserve"> -   Dia 1-1/8" (28.6 mm.)</t>
  </si>
  <si>
    <t xml:space="preserve"> -   Dia 1-3/8" (34.9 mm.) </t>
  </si>
  <si>
    <t xml:space="preserve"> -   Dia 1-5/8" (41.3 mm.)</t>
  </si>
  <si>
    <t>6.2.3</t>
  </si>
  <si>
    <t>ฉนวนหุ้มท่อทองแดง ความหนา 3/4" (Refrigerant Pipe Insulation  Thk. 3/4")</t>
  </si>
  <si>
    <t>MAXFLEX</t>
  </si>
  <si>
    <t xml:space="preserve"> -  สำหรับท่อทองแดง ขนาด Dia 1/4"</t>
  </si>
  <si>
    <t xml:space="preserve"> -  สำหรับท่อทองแดง ขนาด Dia 3/8"</t>
  </si>
  <si>
    <t xml:space="preserve"> -  สำหรับท่อทองแดง ขนาด Dia 1/2"</t>
  </si>
  <si>
    <t xml:space="preserve"> -  สำหรับท่อทองแดง ขนาด Dia 5/8"</t>
  </si>
  <si>
    <t xml:space="preserve"> -  สำหรับท่อทองแดง ขนาด Dia 3/4"</t>
  </si>
  <si>
    <t xml:space="preserve"> -  สำหรับท่อทองแดง ขนาด Dia 7/8"</t>
  </si>
  <si>
    <t xml:space="preserve"> -  สำหรับท่อทองแดง ขนาด Dia 1- 1/8"</t>
  </si>
  <si>
    <t xml:space="preserve"> -  สำหรับท่อทองแดง ขนาด Dia 1- 3/8"</t>
  </si>
  <si>
    <t xml:space="preserve"> -  สำหรับท่อทองแดง ขนาด Dia 1- 5/8"</t>
  </si>
  <si>
    <t>ท่อน้ำทิ้ง (Condensate Drain Pipe PVC  Class 8.5)</t>
  </si>
  <si>
    <t>ค่าวัสดุจากพาณิชย์ส่วนกลาง มิ.ย 65</t>
  </si>
  <si>
    <t>ค่าวัสดุจากพาณิชย์ส่วนกลาง ส.ค 65</t>
  </si>
  <si>
    <t xml:space="preserve"> -  Dia 3/4" (20 mm.)</t>
  </si>
  <si>
    <t xml:space="preserve"> -  Dia 1" (25 mm.)</t>
  </si>
  <si>
    <t xml:space="preserve"> -  Dia 1-1/4" (35 mm.)</t>
  </si>
  <si>
    <t xml:space="preserve"> -  Dia 1-1/2" (40 mm.)</t>
  </si>
  <si>
    <t xml:space="preserve"> -  Dia 2" (55 mm.)</t>
  </si>
  <si>
    <t>ค่าวัสดุและค่าแรงจากบัญชีค่าแรง/ดำเนินการ</t>
  </si>
  <si>
    <t>ทดสอบ ทำความสะอาด ทาสีสัญลักษณ์ท่อ (Test  &amp; Cleaning &amp;  Painting)</t>
  </si>
  <si>
    <t>ฉนวนหุ้มท่อน้ำทิ้ง ความหนา 1/2" ( Closed Cell Drain Pipe  Insulation  Thk.1/2")</t>
  </si>
  <si>
    <t xml:space="preserve"> -  สำหรับท่อน้ำทิ้ง ขนาด Dia 3/4" (20 mm.)</t>
  </si>
  <si>
    <t xml:space="preserve"> -  สำหรับท่อน้ำทิ้ง ขนาด Dia 1" (25 mm.)</t>
  </si>
  <si>
    <t xml:space="preserve"> -  สำหรับท่อน้ำทิ้ง ขนาด Dia 1-1/4" (35 mm.)</t>
  </si>
  <si>
    <t xml:space="preserve"> -  สำหรับท่อน้ำทิ้ง ขนาด Dia 1-1/2" (40 mm.)</t>
  </si>
  <si>
    <t xml:space="preserve"> -  สำหรับท่อน้ำทิ้ง ขนาด Dia 2" (55 mm.)</t>
  </si>
  <si>
    <t>Cover REF. Pipe( Ø 6"  PVC Class 5 + Color Paint )</t>
  </si>
  <si>
    <t>เฉพาะท่อที่อยู่ภายนอกอาคาร</t>
  </si>
  <si>
    <t>งานทดสอบระบบปรับอากาศ  (Test Run &amp; Commissioning AC)</t>
  </si>
  <si>
    <t>6.1.1.2</t>
  </si>
  <si>
    <t>6.1.1.1</t>
  </si>
  <si>
    <t>6.1.2.1</t>
  </si>
  <si>
    <t>6.1.2.2</t>
  </si>
  <si>
    <t>6.1.2.3</t>
  </si>
  <si>
    <t>6.1.2.4</t>
  </si>
  <si>
    <t>6.1.2.5</t>
  </si>
  <si>
    <t>6.1.2.6</t>
  </si>
  <si>
    <t>6.1.3</t>
  </si>
  <si>
    <t>6.1.3.1</t>
  </si>
  <si>
    <t>พัดลมระบายอากาศ (Ventilating Fan)</t>
  </si>
  <si>
    <t>6.2.1.1</t>
  </si>
  <si>
    <t xml:space="preserve">พัดลมแบบโคจรเพดาน ขนาด 16 นิ้ว </t>
  </si>
  <si>
    <t>ราคากลาง 66</t>
  </si>
  <si>
    <t>6.2.1.2</t>
  </si>
  <si>
    <t>พัดลมดูดอากาศติดผนัง  ( WALL MOUNTED TYPE )</t>
  </si>
  <si>
    <t xml:space="preserve"> - ปริมาณลม  120  CFM.  w/Rain Hood</t>
  </si>
  <si>
    <t xml:space="preserve"> - ปริมาณลม  250 CFM.  w/Rain Hood</t>
  </si>
  <si>
    <t>6.2.1.3</t>
  </si>
  <si>
    <t>พัดลมดูดอากาศติดเพดาน ( CEILING  MOUNTED TYPE )</t>
  </si>
  <si>
    <t xml:space="preserve"> -  ปริมาณลม  60  CFM. @ 0.10 in.wg.</t>
  </si>
  <si>
    <t xml:space="preserve"> -  ปริมาณลม  100  CFM. @ 0.10 in.wg.</t>
  </si>
  <si>
    <t xml:space="preserve"> -  ปริมาณลม  120  CFM. @ 0.10 in.wg.</t>
  </si>
  <si>
    <t xml:space="preserve"> -  ปริมาณลม  210  CFM. @ 0.10in.wg.</t>
  </si>
  <si>
    <t xml:space="preserve"> -  ปริมาณลม  250  CFM. @ 0.10 in.wg.</t>
  </si>
  <si>
    <t>6.2.1.4</t>
  </si>
  <si>
    <t>พัดลมระบายอากาศแบบกรงกระรอก  (  MINI SIROCCO FANS TYPE )</t>
  </si>
  <si>
    <t xml:space="preserve">  - ปริมาณลม  360 CFM. @ 0.30 in.wg.</t>
  </si>
  <si>
    <t xml:space="preserve">  - ปริมาณลม  510 CFM. @ 0.30 in.wg.</t>
  </si>
  <si>
    <t>6.2.1.5</t>
  </si>
  <si>
    <t xml:space="preserve"> Supports &amp; Hanger &amp; Accessories</t>
  </si>
  <si>
    <t>6.2.1.6</t>
  </si>
  <si>
    <t>ระบบไฟฟ้า และควบคุม</t>
  </si>
  <si>
    <t>6.2.1.7</t>
  </si>
  <si>
    <t xml:space="preserve">เทอร์โมสตัท ( Thermostat ) </t>
  </si>
  <si>
    <t>งานท่อลม และหน้ากากลม ( Duct Works &amp; Grille )</t>
  </si>
  <si>
    <t>6.2.2.1</t>
  </si>
  <si>
    <t>แผ่นเหล็กชุบสังกะสีสำหรับท่อลม (Galvanized Steel Sheet )</t>
  </si>
  <si>
    <t xml:space="preserve"> - No. #26 (ความหนาไม่ต่ำกว่า 0.55 มม.)</t>
  </si>
  <si>
    <t>ตรฟ.</t>
  </si>
  <si>
    <t>ตรา 3 ดาว</t>
  </si>
  <si>
    <t xml:space="preserve"> - No. #24 (ความหนาไม่ต่ำกว่า 0.66 มม.)</t>
  </si>
  <si>
    <t>ตรานก สิงห์</t>
  </si>
  <si>
    <t>6.2.2.2</t>
  </si>
  <si>
    <t>หน้ากากลมและอุปกรณ์ประกอบ</t>
  </si>
  <si>
    <t xml:space="preserve">EAG. w/OBV (Exhaust Air Grille With Damper) </t>
  </si>
  <si>
    <t>CFM per cool</t>
  </si>
  <si>
    <t>หลังส่วนลด</t>
  </si>
  <si>
    <t xml:space="preserve"> - ขนาด  6" x 6"</t>
  </si>
  <si>
    <t>ชิ้น</t>
  </si>
  <si>
    <t xml:space="preserve">EAG.w/INS.(Exhaust Air Grille With Insect Screen) </t>
  </si>
  <si>
    <t xml:space="preserve"> - ขนาด  12" x 8"</t>
  </si>
  <si>
    <t xml:space="preserve"> - ขนาด  10" x 8"</t>
  </si>
  <si>
    <t xml:space="preserve"> - ขนาด  18" x 10"</t>
  </si>
  <si>
    <t>ช่องเปิดเซอร์วิส ขนาด 60x60 ซม. ( 24" x 24")</t>
  </si>
  <si>
    <t>6.2.3.1</t>
  </si>
  <si>
    <t>งานทดสอบระบบระบายอากาศ   (Test Run &amp; Commissioning VE)</t>
  </si>
  <si>
    <t>ระบบน้ำประปา ( Cold Water Supply System )</t>
  </si>
  <si>
    <t>4.1.1</t>
  </si>
  <si>
    <t>ชุดปั๊มน้ำเพิ่มแรงดัน (Package Booster pump set , Two pumps )</t>
  </si>
  <si>
    <t>Calpeda</t>
  </si>
  <si>
    <t>ค่าแรง SECCO</t>
  </si>
  <si>
    <t xml:space="preserve"> - Pressure diaphragm Tank Capacity 200 Litres.</t>
  </si>
  <si>
    <t xml:space="preserve"> - Booster pump controller, Two pumps Operation Working day control by Timer</t>
  </si>
  <si>
    <t>Alternate/ Parallel Controller ( สลับ+เสริม การทำงาน ), 'Automatic control by Pressure switch</t>
  </si>
  <si>
    <t>Low level Cut-off by Electrod Senser, 'Phase protection relay</t>
  </si>
  <si>
    <t>Control box Out-door type</t>
  </si>
  <si>
    <t>Vibration Isolator</t>
  </si>
  <si>
    <t>SECCO ประมาณ 2500</t>
  </si>
  <si>
    <t>Concrete pad w/Foundation</t>
  </si>
  <si>
    <t>BY CIVIL</t>
  </si>
  <si>
    <t>size 1.20 x 1.70 x0.10</t>
  </si>
  <si>
    <t>4.1.2</t>
  </si>
  <si>
    <t>4.1.3</t>
  </si>
  <si>
    <t xml:space="preserve">ถังเก็บน้ำใต้ดิน ( UNDERGROUND WATER TANK ) </t>
  </si>
  <si>
    <t>4.1.4</t>
  </si>
  <si>
    <t>ท่อ PVC Class 13.5</t>
  </si>
  <si>
    <t>ราคา / ท่อน</t>
  </si>
  <si>
    <t>ราคา / เมตร</t>
  </si>
  <si>
    <t>ราคา กลางพาณิชย์ ขอนแก่น สค.65</t>
  </si>
  <si>
    <t xml:space="preserve">  - Dia. 1/2"</t>
  </si>
  <si>
    <t>บัญชีค่าแรง ส.ค. 65</t>
  </si>
  <si>
    <t xml:space="preserve">  - Dia. 3/4"</t>
  </si>
  <si>
    <t xml:space="preserve">  - Dia. 1"</t>
  </si>
  <si>
    <t xml:space="preserve">  - Dia. 1 1/4"</t>
  </si>
  <si>
    <t xml:space="preserve">  - Dia. 1 1/2"</t>
  </si>
  <si>
    <t xml:space="preserve">  - Dia. 2"</t>
  </si>
  <si>
    <t xml:space="preserve">  - Dia. 2 1/2"</t>
  </si>
  <si>
    <t>บัญชีค่าแรง</t>
  </si>
  <si>
    <t>4.1.5</t>
  </si>
  <si>
    <t xml:space="preserve">ประตูน้ำทองเหลืองลิ้นเกต (Gate Valve. )  แรงดัน 125 ปอนด์ </t>
  </si>
  <si>
    <t xml:space="preserve">ราคา ส่วนกลาง ส.ค.65  ตราโตโย </t>
  </si>
  <si>
    <t>TOYO 206</t>
  </si>
  <si>
    <t>4.1.6</t>
  </si>
  <si>
    <t xml:space="preserve">	 ประตูน้ำเหล็กหล่อลิ้นปีกผีเสื้อ (Butterfly Valve )</t>
  </si>
  <si>
    <t>Kistler</t>
  </si>
  <si>
    <t>4.1.7</t>
  </si>
  <si>
    <t>ตัวกรองทองเหลือง (Y-Patterm, Bronze)</t>
  </si>
  <si>
    <t>4.1.8</t>
  </si>
  <si>
    <t xml:space="preserve">ข้อต่ออ่อนชนิดรับแรงดัน  (Flexible Connection) </t>
  </si>
  <si>
    <t>4.1.9</t>
  </si>
  <si>
    <t>มาตรวัดน้ำ ชนิดใบพัด ระบบแม่เหล็ก-สองชั้น ต่อด้วยเกลียว (Water Meter)</t>
  </si>
  <si>
    <t>TAYO</t>
  </si>
  <si>
    <t>4.1.10</t>
  </si>
  <si>
    <t>วาล์วลูกลอยสแตนเลส ก้านทองเหลือง  ( Float Valve )</t>
  </si>
  <si>
    <t>ABLETOOL</t>
  </si>
  <si>
    <t>4.1.11</t>
  </si>
  <si>
    <t xml:space="preserve">วาวล์หัวกะโหลกเหล็กหล่อ  (Foot Valve Cast Iron) </t>
  </si>
  <si>
    <t>บัญชีค่าแรง ส.ค.65</t>
  </si>
  <si>
    <t>4.1.12</t>
  </si>
  <si>
    <t xml:space="preserve">Pressure gauge W/Snubber &amp; valve </t>
  </si>
  <si>
    <t>WEKSLER</t>
  </si>
  <si>
    <t>4.1.13</t>
  </si>
  <si>
    <t>ก๊อกน้ำล้างพื้น</t>
  </si>
  <si>
    <t>สพฐ 65</t>
  </si>
  <si>
    <t>4.1.14</t>
  </si>
  <si>
    <t>วาล์วระบายแรงดันอัตโนมัติ (Automatic Air Vent Valve)</t>
  </si>
  <si>
    <t>FIVALCO</t>
  </si>
  <si>
    <t>4.1.15</t>
  </si>
  <si>
    <t>บอลวาล์ว (Ball Valve)</t>
  </si>
  <si>
    <t>TOYO</t>
  </si>
  <si>
    <t xml:space="preserve">ระบบระบายน้ำโสโครก น้ำทิ้ง ระบายอากาศและ ท่อน้ำทิ้งจากห้องครัว  ( S, W, V, K ) </t>
  </si>
  <si>
    <t>4.2.1</t>
  </si>
  <si>
    <t>ถังบำบัดน้ำเสียสำเร็จรูป  ชนิดเติมอากาศ พร้อมอุปกรณ์</t>
  </si>
  <si>
    <t xml:space="preserve"> - ขนาด 35,000 ลิตร </t>
  </si>
  <si>
    <t>ไม่รวมค่าฐานราก และค่าขนส่ง</t>
  </si>
  <si>
    <t>งานเสาเข็มและฐานรากรับถังบำบัด</t>
  </si>
  <si>
    <t>งานขุดดินและถมกลับ</t>
  </si>
  <si>
    <t>4.2.2</t>
  </si>
  <si>
    <t>ถังดักไขมันสำเร็จรูป  ชนิดวางใต้ซิงค์หรือตั้งพื้น  (GREASE TRAP TANK)</t>
  </si>
  <si>
    <t xml:space="preserve"> - ขนาด 40 ลิตร</t>
  </si>
  <si>
    <t>4.2.3</t>
  </si>
  <si>
    <t>ท่อ PVC Class 8.5</t>
  </si>
  <si>
    <t>พาณิชย์กลาง สค. 65</t>
  </si>
  <si>
    <t xml:space="preserve">  - Dia. 4"</t>
  </si>
  <si>
    <t xml:space="preserve">  - Dia. 6"</t>
  </si>
  <si>
    <t>4.2.4</t>
  </si>
  <si>
    <t>ชุดระบายน้ำพื้น (Floor Drain : FD )  W/ P-trap</t>
  </si>
  <si>
    <t>112A (TCP)</t>
  </si>
  <si>
    <t xml:space="preserve"> +P-trap</t>
  </si>
  <si>
    <t>4.2.5</t>
  </si>
  <si>
    <t>ชุดระบายน้ำพื้น (Floor Drain : FD ) W/ Bell-trap</t>
  </si>
  <si>
    <t>113A (TCP)</t>
  </si>
  <si>
    <t>4.2.6</t>
  </si>
  <si>
    <t>ชุดช่องเปิดทำความสะอาดท่อที่พื้น ( Floor Cleanout : FCO )</t>
  </si>
  <si>
    <t>322(TCP)</t>
  </si>
  <si>
    <t>4.2.7</t>
  </si>
  <si>
    <t>ชุดช่องเปิดทำความสะอาดปลายท่อ 
ฝาชุบทองเหลือง ( Cleanout : CO )</t>
  </si>
  <si>
    <t>314 (TCP)</t>
  </si>
  <si>
    <t>4.2.8</t>
  </si>
  <si>
    <t xml:space="preserve">ชุดระบายอากาศ ฝาเหล็กหล่อ แบบโดม( Air Vent Cap, Floor ) </t>
  </si>
  <si>
    <t>803 (TCP)</t>
  </si>
  <si>
    <t>4.2.9</t>
  </si>
  <si>
    <t xml:space="preserve">ท่อยางกันทรุด ( Flex Drain )  </t>
  </si>
  <si>
    <t>รวม Clamp รัดท่อ</t>
  </si>
  <si>
    <t>TOPFLEX</t>
  </si>
  <si>
    <t>ระบบระบายน้ำฝน และระบายน้ำนอกอาคาร ( Storm Drain &amp; Building Drain System )</t>
  </si>
  <si>
    <t>ระบบระบายน้ำฝน ( Storm Drain  ), Gravity System</t>
  </si>
  <si>
    <t>4.3.1</t>
  </si>
  <si>
    <t>4.3.2</t>
  </si>
  <si>
    <t>ชุดระบายน้ำหลังคา ( Roof Drain : RD )</t>
  </si>
  <si>
    <t>224 (TCP)</t>
  </si>
  <si>
    <t>4.3.3</t>
  </si>
  <si>
    <t>ระบบระบายน้ำนอกอาคาร (Building Drain System )</t>
  </si>
  <si>
    <t xml:space="preserve">ท่อระบายนํ้าคอนกรีตเสริมเหล็ก ปากลิ้นราง ชั้นคุณภาพ 3 </t>
  </si>
  <si>
    <t xml:space="preserve"> -  ขนาด Ø 30 ซม.</t>
  </si>
  <si>
    <t>พาณิชย์ ขอนแก่น สค. 65</t>
  </si>
  <si>
    <t>ค่าแรงคิด 30 - 37 % ของค่าวัสดุ</t>
  </si>
  <si>
    <t>บ่อพัก คสล. พร้อมฝา คสล.</t>
  </si>
  <si>
    <t xml:space="preserve"> - ขนาด 0.50 x 0.50 ม.</t>
  </si>
  <si>
    <t>บ่อ</t>
  </si>
  <si>
    <t>บ่อดักขยะ พร้อมฝาบ่อ</t>
  </si>
  <si>
    <t>งานดินขุด</t>
  </si>
  <si>
    <t>ทรายหยาบรองพื้น</t>
  </si>
  <si>
    <t>คอนกรีตหยาบรองพื้น 1:3:5 ( ประเภท 1 )</t>
  </si>
  <si>
    <t>4.4.1</t>
  </si>
  <si>
    <t xml:space="preserve">งานทดสอบระบบ Test &amp; Commissioning </t>
  </si>
  <si>
    <t>4.4.2</t>
  </si>
  <si>
    <t>เครื่องดับเพลิง แบบผงเคมีแห้ง ขนาด 10 ปอนด์</t>
  </si>
  <si>
    <t>C5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</si>
  <si>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</si>
  <si>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</si>
  <si>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</si>
  <si>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</si>
  <si>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</si>
  <si>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</si>
  <si>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</si>
  <si>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</si>
  <si>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</si>
  <si>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S2</t>
  </si>
  <si>
    <t>C5+Cx</t>
  </si>
  <si>
    <t>B14</t>
  </si>
  <si>
    <t>B15</t>
  </si>
  <si>
    <t>Bx</t>
  </si>
  <si>
    <t>B16</t>
  </si>
  <si>
    <t>SR</t>
  </si>
  <si>
    <t>พื้นคลุมช่องบันได ST-1</t>
  </si>
  <si>
    <t>งานโครงสร้างบันได ST-1</t>
  </si>
  <si>
    <t>เหล็กตัวซี 100x50x20x3.2 mm.</t>
  </si>
  <si>
    <t>ฐานถังน้ำ</t>
  </si>
  <si>
    <t>งานขุดหลุม</t>
  </si>
  <si>
    <t>ผนังถัง</t>
  </si>
  <si>
    <t>WATER STOP 6"</t>
  </si>
  <si>
    <t>งานโครงสร้างถังเก็บน้ำใต้ดิน</t>
  </si>
  <si>
    <t>ราคา</t>
  </si>
  <si>
    <t>แรง</t>
  </si>
  <si>
    <t>ค่าแรงไม้แบบทั่วไป</t>
  </si>
  <si>
    <t>ดินถมปรับระดับ</t>
  </si>
  <si>
    <t>พาณิชย์ จ.ขอนแก่น</t>
  </si>
  <si>
    <t>พาณิชย์ จ.กทม.</t>
  </si>
  <si>
    <t>https://globalhouse.co.th/product/detail/1903282658107</t>
  </si>
  <si>
    <t>แบบ ปร.5 (ก)</t>
  </si>
  <si>
    <t>งานโครงสร้างเหล็ก</t>
  </si>
  <si>
    <t xml:space="preserve"> - กรุกระเบื้อง ผิวด้าน สีเทา ขนาด 30 x 30 ม. (3)</t>
  </si>
  <si>
    <t xml:space="preserve"> - F4 พื้นโครงสร้าง ปรับระดับ ปูกระเบื้อง ผิวด้าน สีเบส ขนาด 30x30 cm</t>
  </si>
  <si>
    <t xml:space="preserve"> - F2 พื้นโครงสร้าง ปรับระดับ ปูกระเบื้อง ผิวมัน สีเทาอ่อน ขนาด 30x30 cm</t>
  </si>
  <si>
    <t xml:space="preserve"> - F1 พื้นโครงสร้าง ปรับระดับ ปูกระเบื้อง ผิวด้าน สีเทาอ่อน ขนาด 30x30 cm</t>
  </si>
  <si>
    <t xml:space="preserve"> - F0.1 พื้นโครงสร้างเดิม ปรับระดับ ปูกระเบื้อง ผิวด้าน สีเทาอ่อน ขนาด 30x30 cm</t>
  </si>
  <si>
    <t xml:space="preserve"> - F0 พื้นโครงสร้างเดิม ปรับระดับ ปูกระเบื้อง ผิวด้าน สีเทาอ่อน ขนาด 30x30 cm</t>
  </si>
  <si>
    <t>รวมปูนทราย</t>
  </si>
  <si>
    <t xml:space="preserve"> - C1 ฝ้า GYPSUM BOARD ขอบลาด หนา 9 มม. โครงคร่าว GALVANIZED หนา 1.2 มม.</t>
  </si>
  <si>
    <t xml:space="preserve"> - C2 ฝ้า GYPSUM BOARD ขอบลาด กันชื้น หนา 9 มม. โครงคร่าว GALVANIZED หนา 1.2 มม.</t>
  </si>
  <si>
    <t xml:space="preserve"> - C3 ฝ้าท้องพื้น</t>
  </si>
  <si>
    <t>4.4.3</t>
  </si>
  <si>
    <t>4.5.1</t>
  </si>
  <si>
    <t>4.5.2</t>
  </si>
  <si>
    <t xml:space="preserve"> DT-05</t>
  </si>
  <si>
    <t>2.17.1</t>
  </si>
  <si>
    <t>2.17.2</t>
  </si>
  <si>
    <t xml:space="preserve"> - C4 ฝ้า ACOUSTIC BOARD หนา 12.5 มม. ขนาด 0.60x0.60 ม. โครงคร่าว GALVANIZED หนา 1.2 มม.</t>
  </si>
  <si>
    <t xml:space="preserve"> - ฉนวนกันความร้อน POLYURETRIANE FOAM ความหนา 1" </t>
  </si>
  <si>
    <t>DT-02</t>
  </si>
  <si>
    <t>DT-03</t>
  </si>
  <si>
    <t xml:space="preserve"> งานป้ายชื่ออาคารและตราสัญลักษณ์</t>
  </si>
  <si>
    <t xml:space="preserve">บันได ST-02 </t>
  </si>
  <si>
    <t xml:space="preserve"> -   ปรับระดับ ทำผิวหินขัด</t>
  </si>
  <si>
    <t xml:space="preserve"> - แผ่นหลังคา METAL SHEET เคลือบสี หนา 0.4 มม.</t>
  </si>
  <si>
    <t xml:space="preserve"> - ตู้โหลดเซ็นเตอร์ 3 เฟส 4 สาย 100 A 42 ช่อง (Schneider) (LP11,LP21)</t>
  </si>
  <si>
    <t xml:space="preserve"> - ตู้โหลดเซ็นเตอร์ 3 เฟส 4 สาย 100 A 24 ช่อง (Schneider) (LPAC1,LPAC2)</t>
  </si>
  <si>
    <t xml:space="preserve"> - ตู้โหลดเซ็นเตอร์ 3 เฟส 4 สาย 100 A 12 ช่อง (Schneider) (LPAC3,LPSN)</t>
  </si>
  <si>
    <t xml:space="preserve">      - kWh Meter 3P 400Vac  400A/500A (5A)</t>
  </si>
  <si>
    <t xml:space="preserve"> - DW01 : โคมไฟดาวน์ไลท์ ชนิดฝังฝ้า กลม 4" หลอดตะเกียบ 11 วัตต์ 6,500 K (DAYLIGHT)</t>
  </si>
  <si>
    <t xml:space="preserve"> - WL01 : โคมไฟกิ่ง ชนิดติดผนัง หลอดตะเกียบ 2x11 วัตต์ 4,000 K (WARMLIGHT)</t>
  </si>
  <si>
    <t xml:space="preserve"> - DW04 : โคมไฟดาวน์ไลท์ ชนิดติดลอย กลม 6" หลอดตะเกียบ 11 วัตต์ 6,500 K (DAYLIGHT)</t>
  </si>
  <si>
    <t>ราง WIRE WAY</t>
  </si>
  <si>
    <t>สายเคเบิล IEC01 (THW) สายกลมแกนเดี่ยว</t>
  </si>
  <si>
    <t>- ขนาด 1 x 35 ตร.มม. แรงดัน 450/750 โวตท์</t>
  </si>
  <si>
    <t xml:space="preserve"> - THW 50 Sq.mm</t>
  </si>
  <si>
    <r>
      <t xml:space="preserve"> - </t>
    </r>
    <r>
      <rPr>
        <sz val="16"/>
        <rFont val="Calibri"/>
        <family val="2"/>
      </rPr>
      <t>Ø</t>
    </r>
    <r>
      <rPr>
        <sz val="11.2"/>
        <rFont val="TH Sarabun New"/>
        <family val="2"/>
      </rPr>
      <t xml:space="preserve"> </t>
    </r>
    <r>
      <rPr>
        <sz val="16"/>
        <rFont val="TH Sarabun New"/>
        <family val="2"/>
      </rPr>
      <t>16</t>
    </r>
    <r>
      <rPr>
        <sz val="11.2"/>
        <rFont val="TH Sarabun New"/>
        <family val="2"/>
      </rPr>
      <t xml:space="preserve"> </t>
    </r>
    <r>
      <rPr>
        <sz val="16"/>
        <rFont val="TH Sarabun New"/>
        <family val="2"/>
      </rPr>
      <t xml:space="preserve"> x 3000 mm.LONG COPPER BONDED STEEL GROUND ROD</t>
    </r>
  </si>
  <si>
    <t>- ขนาด 1 1/2 นิ้ว ท่อชนิด IMC</t>
  </si>
  <si>
    <t xml:space="preserve"> - ขนาด 1 นิ้ว ท่อชนิด PVC</t>
  </si>
  <si>
    <t>- ขนาด 1 x 25 ตร.มม. แรงดัน 450/750 โวตท์</t>
  </si>
  <si>
    <t>- ขนาด 2 นิ้ว ท่อชนิด IMC</t>
  </si>
  <si>
    <t>- อุปกรณ์ตรวจจับควันไฟ (S)</t>
  </si>
  <si>
    <t>- อุปกรณ์ตรวจจับความร้อน (H)</t>
  </si>
  <si>
    <t>- อุปกรณ์แจ้งเหตุเพลิงไหม้ด้วยมือ (M)</t>
  </si>
  <si>
    <t xml:space="preserve"> - สาย THW ขนาด 1 x 2.5 ตร.มม. แรงดัน 450/750 โวตท์</t>
  </si>
  <si>
    <t>SPE</t>
  </si>
  <si>
    <t>ราคา สพฐ ปี 2566</t>
  </si>
  <si>
    <t>SCHNEIDER/SIRICHAI</t>
  </si>
  <si>
    <t>ราคากลาง กทม สค 65</t>
  </si>
  <si>
    <t>ราคาค่าแรง ตค 2560</t>
  </si>
  <si>
    <t xml:space="preserve"> - RF02 : โคมไฟฟ้าแบบมีตะแกรงอลูมิเนียมถี่ใบพับ ชนิดฝังฝ้ายิบซั่ม หลอด LED TUBE T8 โคม 2x18 วัตต์ 6,500 K (DAYLIGHT) 60x120 CM.</t>
  </si>
  <si>
    <t xml:space="preserve"> - RF04 : โคมไฟฟ้าแบบมีตะแกรงอลูมิเนียมถี่ใบพับ ชนิดติดลอย หลอด LED TUBE T8 โคม 2x18 วัตต์ 6,500 K (DAYLIGHT) 60x120 CM.</t>
  </si>
  <si>
    <t xml:space="preserve"> - FD02 : โคมไฟฟ้าแบบครอบอะครีลิค ชนิดกันน้ำ หลอด LED TUBE T8 โคม 1x18 วัตต์ 6,500 K (DAYLIGHT) 120 CM.</t>
  </si>
  <si>
    <t>พร้อมหน้ากากและอุปกรณ์ครบชุด</t>
  </si>
  <si>
    <t>- ไฟแสงสว่างฉุกเฉิน 2 ดวง LEDx12 W จ่ายไฟอัตโนมัติ สำรองได้ไม่น้อยกว่า 2 ชม. 12V 6.0 A</t>
  </si>
  <si>
    <t>- ป้ายทางออกฉุกเฉิน สำรองได้ไม่น้อยกว่า 2 ชม. กล่องอลูมิเนียม</t>
  </si>
  <si>
    <t>- ขนาด 150 x100 มม หนา 0.8 มม</t>
  </si>
  <si>
    <t>พร้อมฝาปิดราง</t>
  </si>
  <si>
    <t>- ขนาด 100 x50 มม หนา 0.8 มม</t>
  </si>
  <si>
    <t>- ขนาด 100 x100 มม หนา 0.8 มม</t>
  </si>
  <si>
    <t>ราคากลาง กทม สค 66</t>
  </si>
  <si>
    <t>/ASS</t>
  </si>
  <si>
    <t>YAZAKI/ไทยวัสุ</t>
  </si>
  <si>
    <t>งานเสาเข็มเจาะ DRY PROCESS</t>
  </si>
  <si>
    <t>รวมค่าเจาะ</t>
  </si>
  <si>
    <t>KUMWELL/SIRICHAI</t>
  </si>
  <si>
    <t xml:space="preserve"> - Cable Support 50 mm</t>
  </si>
  <si>
    <t xml:space="preserve"> - Test Box Aluminium</t>
  </si>
  <si>
    <t>ทาสีกันสนิม+ทาสีทับหน้า</t>
  </si>
  <si>
    <t>งานทางลาด RAMP</t>
  </si>
  <si>
    <t>2.3.1</t>
  </si>
  <si>
    <t>2.3.2</t>
  </si>
  <si>
    <t>2.3.3</t>
  </si>
  <si>
    <t>2.4.1</t>
  </si>
  <si>
    <t>2.4.2</t>
  </si>
  <si>
    <t>2.4.3</t>
  </si>
  <si>
    <t>2.4.4</t>
  </si>
  <si>
    <t>2.4.5</t>
  </si>
  <si>
    <t>2.5.1</t>
  </si>
  <si>
    <t>2.5.5</t>
  </si>
  <si>
    <t>2.5.2</t>
  </si>
  <si>
    <t>2.5.3</t>
  </si>
  <si>
    <t>2.5.4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</si>
  <si>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</si>
  <si>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</si>
  <si>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</si>
  <si>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</si>
  <si>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</si>
  <si>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</si>
  <si>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</si>
  <si>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</si>
  <si>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2.6.1</t>
  </si>
  <si>
    <t>2.6.2</t>
  </si>
  <si>
    <t>2.6.3</t>
  </si>
  <si>
    <t>2.6.4</t>
  </si>
  <si>
    <t>2.7.1</t>
  </si>
  <si>
    <t>2.7.2</t>
  </si>
  <si>
    <t>2.7.3</t>
  </si>
  <si>
    <t>2.7.4</t>
  </si>
  <si>
    <t>2.7.5</t>
  </si>
  <si>
    <t>2.8.1</t>
  </si>
  <si>
    <t>2.8.2</t>
  </si>
  <si>
    <t>2.8.3</t>
  </si>
  <si>
    <t>2.8.4</t>
  </si>
  <si>
    <t>2.8.5</t>
  </si>
  <si>
    <t>2.8.6</t>
  </si>
  <si>
    <t>2.8.7</t>
  </si>
  <si>
    <t>2.8.8</t>
  </si>
  <si>
    <t>2.8.9</t>
  </si>
  <si>
    <t>2.9.1</t>
  </si>
  <si>
    <t>2.9.2</t>
  </si>
  <si>
    <t>2.10.1</t>
  </si>
  <si>
    <t>2.10.2</t>
  </si>
  <si>
    <t>2.10.3</t>
  </si>
  <si>
    <t>2.10.4</t>
  </si>
  <si>
    <t>2.10.5</t>
  </si>
  <si>
    <t>2.11.1</t>
  </si>
  <si>
    <t>2.11.2</t>
  </si>
  <si>
    <t>2.11.3</t>
  </si>
  <si>
    <t>2.11.4</t>
  </si>
  <si>
    <t>2.11.5</t>
  </si>
  <si>
    <t>2.11.6</t>
  </si>
  <si>
    <t>2.11.7</t>
  </si>
  <si>
    <t>2.11.8</t>
  </si>
  <si>
    <t>2.11.9</t>
  </si>
  <si>
    <t>2.12.1</t>
  </si>
  <si>
    <t>2.12.2</t>
  </si>
  <si>
    <t>2.13.1</t>
  </si>
  <si>
    <t>2.13.2</t>
  </si>
  <si>
    <t xml:space="preserve">     • ลูกตั้ง ลูกนอน ชานพัก ปูกระเบื้อง ผิวด้าน สีเทาอ่อน ขนาด 30x30 cm (F1)</t>
  </si>
  <si>
    <t xml:space="preserve"> - ทาสีกันสนิม+ทาสีน้ำมัน</t>
  </si>
  <si>
    <t xml:space="preserve"> - ฉนวนกันเสียงใยหิน (ROCK WOOL) ขนาด 0.60 x 1.20 มม. หนา 50 มม.</t>
  </si>
  <si>
    <t>แผ่น</t>
  </si>
  <si>
    <t xml:space="preserve"> -  TOP เคาน์เตอร์ กรุกระเบื้อง ผิวด้าน สีเทาอ่อน ขนาด 30x30 ซม. </t>
  </si>
  <si>
    <t>Insert Plate 300x600x20 mm.</t>
  </si>
  <si>
    <t>Insert Plate 200x350x12 mm.</t>
  </si>
  <si>
    <t>Gusset Plate Thx. 10 mm. ขนาด 4'x8' ตัดตามแบบ</t>
  </si>
  <si>
    <t>Gusset Plate Thx. 12 mm. ขนาด 4'x8' ตัดตามแบบ</t>
  </si>
  <si>
    <t>ติดตั้งพร้อมชุดผนังสำเร็จรูป</t>
  </si>
  <si>
    <t xml:space="preserve"> - ที่ใส่กระดาษชำระ </t>
  </si>
  <si>
    <t>5.4.1</t>
  </si>
  <si>
    <t>5.4.2</t>
  </si>
  <si>
    <t>5.4.3</t>
  </si>
  <si>
    <t>5.4.4</t>
  </si>
  <si>
    <t>5.4.5</t>
  </si>
  <si>
    <t>Gusset Plate Flat bars 100 mm. Thx. 6 mm. ตัดตามแบบ</t>
  </si>
  <si>
    <t>รวมราคาหมวดงานสถาปัตยกรรม (3)</t>
  </si>
  <si>
    <t>รวมราคาหมวดงานระบบสุขาภิบาล (4)</t>
  </si>
  <si>
    <t>รวมราคาหมวดงานระบบไฟฟ้า (5)</t>
  </si>
  <si>
    <t>รวมราคาหมวดงานระบบปรับอากาศและระบบระบายอากาศ (6)</t>
  </si>
  <si>
    <t>รวมราคาหมวดงานโครงสร้าง (2)</t>
  </si>
  <si>
    <t>รวมราคาหมวดงานเตรียมการก่อสร้าง (1)</t>
  </si>
  <si>
    <t>1.1.1</t>
  </si>
  <si>
    <t>1.1.2</t>
  </si>
  <si>
    <t>1.1.3</t>
  </si>
  <si>
    <t>1.1.4</t>
  </si>
  <si>
    <t xml:space="preserve">ELECTRIC METER </t>
  </si>
  <si>
    <t>GROUNDING FOR MDB</t>
  </si>
  <si>
    <t>Main Distribution Board</t>
  </si>
  <si>
    <t>แผงเมนไฟฟ้า Load Center</t>
  </si>
  <si>
    <t>5.1.1</t>
  </si>
  <si>
    <t>5.1.2</t>
  </si>
  <si>
    <t>5.1.3</t>
  </si>
  <si>
    <t>5.1.4</t>
  </si>
  <si>
    <t>ตู้ควบคุมระบบไฟฟ้าหลัก</t>
  </si>
  <si>
    <t xml:space="preserve"> - Main Circuit Breaker ขนาด 80 A 3P 15 ka (MCCB) (Schneider)</t>
  </si>
  <si>
    <t xml:space="preserve"> - Main Circuit Breaker ขนาด 50 A 3P 15 ka (MCCB) (Schneider)</t>
  </si>
  <si>
    <t xml:space="preserve"> - Main Circuit Breaker ขนาด 40 A 3P 15 ka (MCCB) (Schneider)</t>
  </si>
  <si>
    <t xml:space="preserve"> - Main Circuit Breaker ขนาด 32 A 3P 15 ka (MCB) (Schneider)</t>
  </si>
  <si>
    <t xml:space="preserve"> - Circuit Breaker ขนาด 10 A 1P 6 ka (MCB) (Schneider)</t>
  </si>
  <si>
    <t xml:space="preserve"> - Circuit Breaker ขนาด 16 A 1P 6 ka (MCB) (Schneider)</t>
  </si>
  <si>
    <t xml:space="preserve"> - Circuit Breaker ขนาด 20 A 1P 6 ka (MCB) (Schneider)</t>
  </si>
  <si>
    <t xml:space="preserve"> - Circuit Breaker ขนาด 10 A 1P (RCBO) (Schneider)</t>
  </si>
  <si>
    <t xml:space="preserve"> - Circuit Breaker ขนาด 20 A 1P (RCBO) (Schneider)</t>
  </si>
  <si>
    <t>งานโครงสร้างฐานวางถังบำบัด</t>
  </si>
  <si>
    <t>3.1.9</t>
  </si>
  <si>
    <t>งานเบ็ดเตล็ด</t>
  </si>
  <si>
    <t>งานรื้อถอนโครงสร้างและวัสดุมุงหลังคา (ลานจอดรถ)</t>
  </si>
  <si>
    <t>งานรื้อถอนขอบคันหิน คสล.</t>
  </si>
  <si>
    <t xml:space="preserve"> DT-04</t>
  </si>
  <si>
    <t xml:space="preserve"> - งานตัวอักษรสังกะสี Di-cut ความสูง 80 ซม. ยกขอบหนา 10 ซม. ทำสีดำ ชื่ออาคาร "11" (DT-04)</t>
  </si>
  <si>
    <t>ตัวอาคาร</t>
  </si>
  <si>
    <t>ถังเก็บน้ำใต้ดิน</t>
  </si>
  <si>
    <t>Gusset Plate Thx. 8 mm. ขนาด 4'x8' ตัดตามแบบ (400x200 mm.)</t>
  </si>
  <si>
    <t>2.17.3</t>
  </si>
  <si>
    <t xml:space="preserve"> - งานบันไดสแตนเลสถังเก็บน้ำใต้ดิน </t>
  </si>
  <si>
    <t xml:space="preserve"> - งานฝาสแตนเลสปิดปากถังเก็บน้ำใต้ดิน ขนาด 0.80x0.80 ม.</t>
  </si>
  <si>
    <t xml:space="preserve"> • ฉนวนกันเสียงใยหิน (ROCK WOOL) ขนาด 0.60 x 1.20 มม. หนา 50 มม.</t>
  </si>
  <si>
    <t xml:space="preserve"> - ชานพักบันไดเหล็กแผ่นพับขึ้นรูปตามแบบ 4'x8' หนา 9 มม.</t>
  </si>
  <si>
    <t xml:space="preserve"> - แม่บันไดเหล็ก I-Beam - 150x75x5.5x9.5 mm. 17.1 kg/m.</t>
  </si>
  <si>
    <t xml:space="preserve"> - ขั้นบันไดเหล็ก C-Channal - 250x90x9x13 mm. 34.60 kg/m.</t>
  </si>
  <si>
    <t xml:space="preserve"> - ลูกตั้งรับขั้นบันไดเหล็ก Rectangular Tube - 100x50x3.2 mm. 7.01 kg/m.</t>
  </si>
  <si>
    <t xml:space="preserve"> - Plate 200x200x20 mm.</t>
  </si>
  <si>
    <t xml:space="preserve"> - Chemica bolt M16</t>
  </si>
  <si>
    <t xml:space="preserve">     • ทาสีกันสนิม+ทาสีน้ำมัน</t>
  </si>
  <si>
    <t>เสาเข็มหกเหลื่อม ขนาด 0.15 x 6.00 ม.</t>
  </si>
  <si>
    <t>งานดินขุดพร้อมถมกลบ</t>
  </si>
  <si>
    <t>ทรายหยาบบดอัดแน่นรองฐาน+รอบถัง</t>
  </si>
  <si>
    <t>คอนกรีตผสมหยาบ 1:3:5</t>
  </si>
  <si>
    <t>คอนกรีตโครงสร้าง ( 240 ksc. Cylinder )</t>
  </si>
  <si>
    <t>ลวดสลิง 6 มม. พร้อมห่วงยึดถัง</t>
  </si>
  <si>
    <t xml:space="preserve"> - งานตราสัญญาลักษณ์ " มหาวิทยาลัยเทคโนโลยีราชมงคลอีสาน " สแตนเลสกัดกรด (DT-05)</t>
  </si>
  <si>
    <t xml:space="preserve"> - งานตัวอักษรสังกะสี Di-cut ความสูง 30 ซม. ยกขอบหนา 10 ซม. ทำสีดำ ชื่ออาคาร "คณะบริหารธุรกิจและเทคโนโลยีสารสนเทศ" (ภาษาไทย) (DT-05)</t>
  </si>
  <si>
    <t xml:space="preserve"> - งานตัวอักษรสังกะสี Di-cut ความสูง 22 ซม. ยกขอบหนา 10 ซม. ทำสีดำ ชื่ออาคาร "Faculty of Business Administration and Information Technology" (ภาษาอังกฤษ) (DT-05)</t>
  </si>
  <si>
    <t xml:space="preserve"> - อลูมิเนียมแผ่นเรียบ หนาไม้อยกว่า 4 มม.  ทำสีขาว พับขึ้นรูปตามแบบ (พื้นป้ายชื่อคณะ)</t>
  </si>
  <si>
    <t>วิธี SEISMIC INTEGRITY TEST</t>
  </si>
  <si>
    <t xml:space="preserve"> - ACCESSORIE &amp; FITTING</t>
  </si>
  <si>
    <t xml:space="preserve"> - เหล็กกล่อง ขนาด 8"x4" หนา 2.7 มม. 12.13 kg/m.</t>
  </si>
  <si>
    <t xml:space="preserve"> - เหล็กกล่อง ขนาด 8"x2" หนา 2.7 มม. 10.05 kg/m.</t>
  </si>
  <si>
    <t xml:space="preserve">DT-01 </t>
  </si>
  <si>
    <t>3.2.1.1</t>
  </si>
  <si>
    <t>3.2.2.1</t>
  </si>
  <si>
    <t>3.2.2.2</t>
  </si>
  <si>
    <t>3.2.4.1</t>
  </si>
  <si>
    <t>3.2.3</t>
  </si>
  <si>
    <t>3.2.3.1</t>
  </si>
  <si>
    <t>3.2.4.2</t>
  </si>
  <si>
    <t>โครงเหล็กกล่องประกอบขี้นรูปตามแบบ ขนาด 10x20 ซม.</t>
  </si>
  <si>
    <t>โครงเหล็กกล่องประกอบขี้นรูปตามแบบ ขนาด 5x20 ซม.</t>
  </si>
  <si>
    <t>2.9.3</t>
  </si>
  <si>
    <t>พื้นสำเร็จชนิดกลวง HC</t>
  </si>
  <si>
    <t>พื้นสำเร็จชนิดตัน PS</t>
  </si>
  <si>
    <t>แผ่นพื้นสำเร็จ ชนิดกลวง หนา 10 ซม.  LL=400 กก./ตร.ม.</t>
  </si>
  <si>
    <t xml:space="preserve"> - F6 พื้นโครงสร้าง ปรับระดับ ปูกระเบื้องยาง หนาไม่น้อยกว่า 2.5 มม. ผิวกึ่งด้าน สีไม้วอลนัท ขนาด 30x30 cm</t>
  </si>
  <si>
    <t>รวมชั้น 1</t>
  </si>
  <si>
    <t>รวมชั้น 2</t>
  </si>
  <si>
    <t>รวมชั้น 3</t>
  </si>
  <si>
    <t>รวมชั้นหลังคา</t>
  </si>
  <si>
    <t>รวมงานเสาเข็มเจาะ DRY PROCESS</t>
  </si>
  <si>
    <t>รวมงานทดสอบการรับน้ำหนักเสาเข็ม</t>
  </si>
  <si>
    <t>รวมงานฐานราก</t>
  </si>
  <si>
    <t>งานเสาตอม่อ</t>
  </si>
  <si>
    <t>รวมคานชั้นที่ 1</t>
  </si>
  <si>
    <t>รวมพื้นชั้นที่ 1</t>
  </si>
  <si>
    <t>รวมเสาชั้นที่ 1</t>
  </si>
  <si>
    <t>รวมคานชั้นที่ 2</t>
  </si>
  <si>
    <t>รวมพื้นชั้นที่ 2</t>
  </si>
  <si>
    <t>รวมเสาชั้นที่ 2</t>
  </si>
  <si>
    <t>รวมคานชั้นดาดฟ้า</t>
  </si>
  <si>
    <t>รวมพื้นชั้นดาดฟ้า</t>
  </si>
  <si>
    <t>รวมพื้นคลุมช่องบันได ST-1</t>
  </si>
  <si>
    <t>รวมงานโครงสร้างเหล็ก</t>
  </si>
  <si>
    <t>รวมงานโครงสร้างบันได ST-1</t>
  </si>
  <si>
    <t>รวมงานทางลาด RAMP</t>
  </si>
  <si>
    <t>รวมงานโครงสร้างถังเก็บน้ำใต้ดิน</t>
  </si>
  <si>
    <t>รวมงานโครงสร้างฐานวางถังบำบัด</t>
  </si>
  <si>
    <t>รวมงานพื้นและผิวพื้น</t>
  </si>
  <si>
    <t>รวมงานผนังและผิวผนัง</t>
  </si>
  <si>
    <t>รวมงานฝ้าเพดาน</t>
  </si>
  <si>
    <t>รวมงานบันไดและราวกันตก</t>
  </si>
  <si>
    <t>รวม งานประตู-หน้าต่าง</t>
  </si>
  <si>
    <t xml:space="preserve">รวมงานสุขภัณฑ์ พร้อมอุปกรณ์ครบชุด  </t>
  </si>
  <si>
    <t>รวมงานทาสี</t>
  </si>
  <si>
    <t>รวมงานหลังคา</t>
  </si>
  <si>
    <t>รวมงานเบ็ดเตล็ด</t>
  </si>
  <si>
    <t xml:space="preserve">รวม DT-01 </t>
  </si>
  <si>
    <t>รวม DT-02</t>
  </si>
  <si>
    <t>รวม DT-03</t>
  </si>
  <si>
    <t>รวม งานป้ายชื่ออาคารและตราสัญลักษณ์</t>
  </si>
  <si>
    <t>รวมระบบน้ำประปา ( Cold Water Supply System )</t>
  </si>
  <si>
    <t xml:space="preserve">รวมระบบระบายน้ำโสโครก น้ำทิ้ง ระบายอากาศและ ท่อน้ำทิ้งจากห้องครัว  ( S, W, V, K ) </t>
  </si>
  <si>
    <t>รวมระบบระบายน้ำฝน และระบายน้ำนอกอาคาร ( Storm Drain &amp; Building Drain System )</t>
  </si>
  <si>
    <t>รวมระบบระบายน้ำนอกอาคาร (Building Drain System )</t>
  </si>
  <si>
    <t>รวมงานอื่นๆ</t>
  </si>
  <si>
    <t>รวมตู้ควบคุมระบบไฟฟ้าหลัก</t>
  </si>
  <si>
    <t>รวมโคมไฟฟ้า</t>
  </si>
  <si>
    <t>รวมSWITCH &amp; RECEPTACLE (สวิตช์ไฟฟ้าและเต้ารับ)</t>
  </si>
  <si>
    <t>รวมงานCABLE &amp; CONDUIT (งานสายไฟฟ้า  และท่อร้อยสายไฟ)สายเคเบิล IEC01 (THW) สายกลมแกนเดี่ยว</t>
  </si>
  <si>
    <t>รวมระบบสัญญาณแจ้งเหตุเพลิงไหม้</t>
  </si>
  <si>
    <t>รวมLightning &amp; Grounding System</t>
  </si>
  <si>
    <t>รวมเครื่องปรับอากาศ (VRF/VRV AIR Conditioning System )</t>
  </si>
  <si>
    <t>รวมระบบท่อน้ำยา  ท่อน้ำทิ้ง ( Refrigerant Pipe &amp; Drain Pipe)</t>
  </si>
  <si>
    <t>รวมพัดลมระบายอากาศ (Ventilating Fan)</t>
  </si>
  <si>
    <t>รวมงานท่อลม และหน้ากากลม ( Duct Works &amp; Grille )</t>
  </si>
  <si>
    <t>งานจัดสวนและไฟตกแต่ง</t>
  </si>
  <si>
    <t>รวม F1</t>
  </si>
  <si>
    <t>รวม F2</t>
  </si>
  <si>
    <t>รวม F3</t>
  </si>
  <si>
    <t>รวม C1</t>
  </si>
  <si>
    <t>รวม C2</t>
  </si>
  <si>
    <t>รวม C3</t>
  </si>
  <si>
    <t>รวม C4</t>
  </si>
  <si>
    <t>รวม C5</t>
  </si>
  <si>
    <t>รวม B1</t>
  </si>
  <si>
    <t xml:space="preserve"> รวม B2</t>
  </si>
  <si>
    <t>รวม B3</t>
  </si>
  <si>
    <t>รวม B4</t>
  </si>
  <si>
    <t>รวม B5</t>
  </si>
  <si>
    <t xml:space="preserve"> รวม B6</t>
  </si>
  <si>
    <t>รวม B7</t>
  </si>
  <si>
    <t xml:space="preserve"> รวม B8</t>
  </si>
  <si>
    <t>รวม B9</t>
  </si>
  <si>
    <t>รวม B10</t>
  </si>
  <si>
    <t>รวม B11</t>
  </si>
  <si>
    <t>รวม B12</t>
  </si>
  <si>
    <t>รวม B13</t>
  </si>
  <si>
    <t>รวม S1</t>
  </si>
  <si>
    <t xml:space="preserve"> รวม S2</t>
  </si>
  <si>
    <t>รวม GS</t>
  </si>
  <si>
    <t>รวม พื้นสำเร็จ PS</t>
  </si>
  <si>
    <t xml:space="preserve"> รวม C2</t>
  </si>
  <si>
    <t>รวม C5+Cx</t>
  </si>
  <si>
    <t>รวม B8</t>
  </si>
  <si>
    <t>รวม B14</t>
  </si>
  <si>
    <t>รวม B15</t>
  </si>
  <si>
    <t>รวม Bx</t>
  </si>
  <si>
    <t>รวม พื้นสำเร็จชนิดตัน PS</t>
  </si>
  <si>
    <t>รวม พื้นสำเร็จชนิดกลวง HC</t>
  </si>
  <si>
    <t xml:space="preserve"> รวม B13</t>
  </si>
  <si>
    <t>รวม B16</t>
  </si>
  <si>
    <t>รวม SR</t>
  </si>
  <si>
    <t>รวม ฐานถังน้ำ</t>
  </si>
  <si>
    <t>รวม ผนังถัง</t>
  </si>
  <si>
    <t>รวม ราวกันตก โถงทางเดิน ชั้น 2</t>
  </si>
  <si>
    <t>รวม ราวกันตก ชั้น 1</t>
  </si>
  <si>
    <t>รวม บันได ST-07</t>
  </si>
  <si>
    <t>รวม บันได ST-06</t>
  </si>
  <si>
    <t>รวม บันได ST-05</t>
  </si>
  <si>
    <t>รวม บันได ST-03.1</t>
  </si>
  <si>
    <t>รวม บันได ST-03</t>
  </si>
  <si>
    <t>รวม บันได ST-02</t>
  </si>
  <si>
    <t>รวม บันได ST-01</t>
  </si>
  <si>
    <t>รวม งานจัดสวนและไฟตกแต่ง</t>
  </si>
  <si>
    <t>เสาเข็มเจาะขนาด DIA. 35 cm.ตอกลึกไม่น้อยกว่า 9 ม. และรับน้ำหนักบรรทุกปลอดภัยไม่น้อยกว่า 30 ตัน/ต้น</t>
  </si>
  <si>
    <t>ป้าย</t>
  </si>
  <si>
    <t>รวมงานถังดับเพลิง</t>
  </si>
  <si>
    <t>ระบบดับเพลิง</t>
  </si>
  <si>
    <t>ดอกเบี้ยเงินกู้           6      %</t>
  </si>
  <si>
    <t>3.1.2.1</t>
  </si>
  <si>
    <t>3.1.2.2</t>
  </si>
  <si>
    <t>รวมงานผนัง</t>
  </si>
  <si>
    <t>รวมงานผิวผนัง</t>
  </si>
  <si>
    <t>3.1.5.1</t>
  </si>
  <si>
    <t>รวมงานประตู</t>
  </si>
  <si>
    <t>3.1.5.2</t>
  </si>
  <si>
    <t>รวมงานหน้าต่าง</t>
  </si>
  <si>
    <t>รวม Main Distribution Board</t>
  </si>
  <si>
    <t>รวม แผงเมนไฟฟ้า Load Center</t>
  </si>
  <si>
    <t xml:space="preserve">รวม ELECTRIC METER </t>
  </si>
  <si>
    <t>รวม 'GROUNDING FOR MDB</t>
  </si>
  <si>
    <t>รวม สายเมน</t>
  </si>
  <si>
    <t>รวม 'IMC CONDUIT</t>
  </si>
  <si>
    <t>รวม 'ราง WIRE WAY</t>
  </si>
  <si>
    <t>รวม สายเคเบิล IEC01 (THW) สายกลมแกนเดี่ยว</t>
  </si>
  <si>
    <t>รวม 'EMT CONDUIT</t>
  </si>
  <si>
    <t xml:space="preserve">รวม ระบบไฟฟ้า และระบบควบคุม </t>
  </si>
  <si>
    <t xml:space="preserve">รวม Safety Switch - Outdoor Type (เซฟตี้สวิทซ์ แบบ ไม่มีฟิวส์ ชนิดใช้ภายนอกอาคาร)  </t>
  </si>
  <si>
    <t xml:space="preserve">รวม ท่อทองแดงชนิดม้วน (Soft Copper Pipe)     </t>
  </si>
  <si>
    <t xml:space="preserve">รวม ท่อทองแดงชนิดเส้นแบบแอล (Hard Copper Pipe Type L)     </t>
  </si>
  <si>
    <t>รวม ฉนวนหุ้มท่อทองแดง ความหนา 3/4" (Refrigerant Pipe Insulation  Thk. 3/4")</t>
  </si>
  <si>
    <t>รวม ท่อน้ำทิ้ง (Condensate Drain Pipe PVC  Class 8.5)</t>
  </si>
  <si>
    <t>รวม ฉนวนหุ้มท่อน้ำทิ้ง ความหนา 1/2" ( Closed Cell Drain Pipe  Insulation  Thk.1/2")</t>
  </si>
  <si>
    <t>รวม Cover REF. Pipe( Ø 6"  PVC Class 5 + Color Paint )</t>
  </si>
  <si>
    <t xml:space="preserve">รวม พัดลมแบบโคจรเพดาน ขนาด 16 นิ้ว </t>
  </si>
  <si>
    <t>รวม พัดลมดูดอากาศติดผนัง  ( WALL MOUNTED TYPE )</t>
  </si>
  <si>
    <t>รวม พัดลมดูดอากาศติดเพดาน ( CEILING  MOUNTED TYPE )</t>
  </si>
  <si>
    <t>รวม พัดลมระบายอากาศแบบกรงกระรอก  (  MINI SIROCCO FANS TYPE )</t>
  </si>
  <si>
    <t>รวม แผ่นเหล็กชุบสังกะสีสำหรับท่อลม (Galvanized Steel Sheet )</t>
  </si>
  <si>
    <t>รวม หน้ากากลมและอุปกรณ์ประกอบ</t>
  </si>
  <si>
    <t>เครื่องเติมอากาศ (AIR blower) สามารถผลิตลมได้มากกว่า 0.76 ลบ.ม /นาที</t>
  </si>
  <si>
    <t>ค่า BOD น้ำออกนอกถัง ไม่เกินกว่า 20 มิลลิกรัม/ลิตร</t>
  </si>
  <si>
    <t>อุปกรณ์เบ็ตเตล็ด (อุปกรณ์ยึดประกอบท่อ)</t>
  </si>
  <si>
    <t>เหล็กยึดท่อ (Hangers and Supports) (อุปกรณ์ยึดประกอบท่อ)</t>
  </si>
  <si>
    <t>Supports &amp; Accessories (อุปกรณ์ยึดประกอบท่อ)</t>
  </si>
  <si>
    <t>งานรื้อถอนโครงสร้างและวัสดุมุงหลังคา (รื้อเก็บ)</t>
  </si>
  <si>
    <t>งานรื้อถอนประตูหน้าต่าง (รื้อเก็บ)</t>
  </si>
  <si>
    <t>ถังดับเพลิง ขนาด 15 ปอนด์ Type A ,B ,C  (ตำแหน่งติดตั้งระบุภายหลัง)</t>
  </si>
  <si>
    <t xml:space="preserve">ป้ายชื่อห้องต่างๆภายในอาคาร เป็นวัสดุอะคริลิค (ขนาดและชื่อตัวอักษร ระบุภายหลัง)
</t>
  </si>
  <si>
    <t>รวมค่าแรง</t>
  </si>
  <si>
    <t>เหล็กยึดท่อ  และอุปกรณ์ (Hanger , Support &amp; Accessories) (อุปกรณ์ยึดประกอบท่อ)</t>
  </si>
  <si>
    <t xml:space="preserve"> - PBS 01,02 CAP 2 x ….60.... GPM, TDH ….35.... M.2900 RPM. 3.2 HP (2.4 กิโลวัตต์)</t>
  </si>
  <si>
    <t>หมวดครุภัณฑ์</t>
  </si>
  <si>
    <t>ครุภัณฑ์ระบบเครือข่าย</t>
  </si>
  <si>
    <t>รวม CCTV System</t>
  </si>
  <si>
    <t>รวม Computer System</t>
  </si>
  <si>
    <t>รวม หมวดครุภัณฑ์</t>
  </si>
  <si>
    <t xml:space="preserve"> เจ้าของหน่วยงาน : คณะครุศาสตร์อุตสาหกรรม</t>
  </si>
  <si>
    <t>คำนวณราคากลางโดย : คำสั่งที่ 627/2565 ลงวันที่ 3 พฤศจิกายน 2565</t>
  </si>
  <si>
    <t>จุด</t>
  </si>
  <si>
    <t>งานติดตั้งท่อร้อยสายไฟ</t>
  </si>
  <si>
    <t>งานติดตั้งเครือข่ายไร้สายพร้อมท่อร้อยสาย</t>
  </si>
  <si>
    <t>งานเดินสายสัญญาณ Fiber Optic เข้าอาคาร (12 core)</t>
  </si>
  <si>
    <t>5.7.1</t>
  </si>
  <si>
    <t xml:space="preserve"> - ค่าอุปกรณ์ในการติดตั้งเบ็ดเตล็ด</t>
  </si>
  <si>
    <t>- บล็อกและฝาครอบและอุปกรณ์เบ็ดเตล็ด</t>
  </si>
  <si>
    <t>- อุปกรณ์ประกอบติดตั้งท่อ</t>
  </si>
  <si>
    <t>- อุปกรณ์ติดตั้งราง WIRE WAY</t>
  </si>
  <si>
    <t>- งานร้อยสายไฟและเชื่อมต่อสาย</t>
  </si>
  <si>
    <t>- ค่าอุปกรณ์ประกอบการติดตั้งท่อ</t>
  </si>
  <si>
    <t>- ชุดกระดิ่งเตือนเพลิงไหม้ ขนาด 6" พร้อมอุปกรณ์ (B)</t>
  </si>
  <si>
    <t xml:space="preserve">- อุปกรณ์ประกอบและเบ็ดเตล็ด </t>
  </si>
  <si>
    <t xml:space="preserve"> - อุปกรณ์เชื่อมต่อและติดตั้งระบบกราวด์ (Grounding Accessories)</t>
  </si>
  <si>
    <t xml:space="preserve"> - อุปกรณ์ประกอบงานติดตั้งตู้ MDB </t>
  </si>
  <si>
    <t>.........................................................</t>
  </si>
  <si>
    <t>ประธานกรรมการกำหนดราคากลาง</t>
  </si>
  <si>
    <t>.....................................................</t>
  </si>
  <si>
    <t>.......................................................</t>
  </si>
  <si>
    <t>กรรมการกำหนดราคากลาง</t>
  </si>
  <si>
    <t>(อาจารย์ธวัชชัย  โทอินทร์)</t>
  </si>
  <si>
    <t>(อาจารย์ อัตพล  บุบพิ)</t>
  </si>
  <si>
    <t>(ผู้ช่วยศาสตราจารย์ภัคพร ยอดศิริ)</t>
  </si>
  <si>
    <t xml:space="preserve">คำนวณราคากลาง </t>
  </si>
  <si>
    <t>คำสั่งที่ 627/2565 ลงวันที่ 3 พฤศจิกายน 2565</t>
  </si>
  <si>
    <t>แบบ ปร.4 (ก)  ที่แนบ</t>
  </si>
  <si>
    <t>แบบ ปร.4 (ข) ที่แนบ</t>
  </si>
  <si>
    <t>ติดตั้งระบบ LAN ห้องเรียนคอมพิวเตอร์</t>
  </si>
  <si>
    <t>งานติดตั้งระบบ LAN ภายในอาคาร</t>
  </si>
  <si>
    <t>งานรื้อถอนอุปกรณ์กระจายสัญญาณแบบไร้สายเดิม (รื้อเก็บ)</t>
  </si>
  <si>
    <t>ใช้ Access point เดิม</t>
  </si>
  <si>
    <t>งานรื้อถอนตู้ Rack 19" พร้อมอุปกรณ์ภายในตู้ (รื้อเก็บ) และติดตั้งกลับ</t>
  </si>
  <si>
    <t>เดิม</t>
  </si>
  <si>
    <t>Patch Panel 48 Port PoE  สำหรับห้องเรียนคอมพิวเตอร์</t>
  </si>
  <si>
    <t>SWITCH L2 48 PORT  สำหรับห้องเรียนคอมพิวเตอร์</t>
  </si>
  <si>
    <t>Rack 19" 15U สำหรับห้องเรียนคอมพิวเตอร์</t>
  </si>
  <si>
    <t>7.1.1</t>
  </si>
  <si>
    <t>7.1.2</t>
  </si>
  <si>
    <t>7.1.3</t>
  </si>
  <si>
    <t>7.1.4</t>
  </si>
  <si>
    <t>7.1.5</t>
  </si>
  <si>
    <t>7.1.6</t>
  </si>
  <si>
    <t>7.2.1</t>
  </si>
  <si>
    <t>7.2.4</t>
  </si>
  <si>
    <t>7.2.2</t>
  </si>
  <si>
    <t>7.2.3</t>
  </si>
  <si>
    <t>7.2.5</t>
  </si>
  <si>
    <t>7.2.6</t>
  </si>
  <si>
    <t>7.2.7</t>
  </si>
  <si>
    <t>NVR 32 Chanel 256 Mbps 4 SATA</t>
  </si>
  <si>
    <t>Rack 19" 27U</t>
  </si>
  <si>
    <t>Hard Drive 6 TB</t>
  </si>
  <si>
    <t>Access Switch 24 Port PoE</t>
  </si>
  <si>
    <t xml:space="preserve">LED Monitor TV 32" </t>
  </si>
  <si>
    <t>UPS 1KVA 600 W</t>
  </si>
  <si>
    <t>IP Camera DOME Fix Type 1920x1080 2.7 TO 13.5 mm. IR40 M.</t>
  </si>
  <si>
    <t>Set Up &amp; Test Commissioning</t>
  </si>
  <si>
    <t>UTP Cat 6 Cable</t>
  </si>
  <si>
    <t>ขนาด 1/2 นิ้ว ท่อชนิด EMT.</t>
  </si>
  <si>
    <t>Support &amp; Accessories  (ระบุรายละเอียดและตำแหน่งติดตั้งเพิ่มภายหลัง)</t>
  </si>
  <si>
    <t>6.1.1.1.1</t>
  </si>
  <si>
    <t>6.1.1.1.2</t>
  </si>
  <si>
    <t>6.1.1.1.3</t>
  </si>
  <si>
    <t>6.1.1.2.1</t>
  </si>
  <si>
    <t>6.1.1.2.2</t>
  </si>
  <si>
    <t>6.1.2.1.1</t>
  </si>
  <si>
    <t>6.1.2.1.2</t>
  </si>
  <si>
    <t>6.1.2.1.3</t>
  </si>
  <si>
    <t>6.1.2.2.1</t>
  </si>
  <si>
    <t>6.1.2.2.2</t>
  </si>
  <si>
    <t>6.1.2.2.3</t>
  </si>
  <si>
    <t>6.1.2.2.4</t>
  </si>
  <si>
    <t>6.1.2.2.5</t>
  </si>
  <si>
    <t>6.1.2.2.6</t>
  </si>
  <si>
    <t>6.1.2.2.7</t>
  </si>
  <si>
    <t>6.1.2.2.8</t>
  </si>
  <si>
    <t>6.1.2.2.9</t>
  </si>
  <si>
    <t>6.1.2.2.10</t>
  </si>
  <si>
    <t>6.1.2.3.1</t>
  </si>
  <si>
    <t>6.1.2.3.2</t>
  </si>
  <si>
    <t>6.1.2.3.3</t>
  </si>
  <si>
    <t>6.1.2.3.4</t>
  </si>
  <si>
    <t>6.1.2.3.5</t>
  </si>
  <si>
    <t>6.1.2.3.6</t>
  </si>
  <si>
    <t>6.1.2.3.7</t>
  </si>
  <si>
    <t>6.1.2.3.8</t>
  </si>
  <si>
    <t>6.1.2.3.9</t>
  </si>
  <si>
    <t>6.1.2.3.10</t>
  </si>
  <si>
    <t>วันที่ 7  เมษายน  2566</t>
  </si>
  <si>
    <t>6.1.2.4.1</t>
  </si>
  <si>
    <t>6.1.2.4.2</t>
  </si>
  <si>
    <t>6.1.2.4.3</t>
  </si>
  <si>
    <t>6.1.2.4.4</t>
  </si>
  <si>
    <t>6.1.2.4.5</t>
  </si>
  <si>
    <t>6.1.2.4.6</t>
  </si>
  <si>
    <t>6.1.2.4.7</t>
  </si>
  <si>
    <t>6.1.2.4.8</t>
  </si>
  <si>
    <t>6.1.2.4.9</t>
  </si>
  <si>
    <t>3.1.6.4.1</t>
  </si>
  <si>
    <t>6.1.2.5.1</t>
  </si>
  <si>
    <t>6.1.2.6.1</t>
  </si>
  <si>
    <t>6.1.2.5.2</t>
  </si>
  <si>
    <t>6.1.2.5.3</t>
  </si>
  <si>
    <t>6.1.2.5.4</t>
  </si>
  <si>
    <t>6.1.2.5.5</t>
  </si>
  <si>
    <t>6.1.2.5.6</t>
  </si>
  <si>
    <t>6.2.1.1.1</t>
  </si>
  <si>
    <t>6.2.1.2.1</t>
  </si>
  <si>
    <t>6.2.1.2.2</t>
  </si>
  <si>
    <t>6.2.1.3.1</t>
  </si>
  <si>
    <t>6.2.1.3.2</t>
  </si>
  <si>
    <t>6.2.1.3.3</t>
  </si>
  <si>
    <t>6.2.1.3.4</t>
  </si>
  <si>
    <t>6.2.1.3.5</t>
  </si>
  <si>
    <t>6.2.1.4.1</t>
  </si>
  <si>
    <t>6.2.1.4.2</t>
  </si>
  <si>
    <t>6.2.2.1.1</t>
  </si>
  <si>
    <t>6.2.2.1.2</t>
  </si>
  <si>
    <t>6.2.2.1.3</t>
  </si>
  <si>
    <t>6.2.2.2.1</t>
  </si>
  <si>
    <t>6.2.2.2.2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</si>
  <si>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</si>
  <si>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</si>
  <si>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</si>
  <si>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</si>
  <si>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</si>
  <si>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</si>
  <si>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</si>
  <si>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</si>
  <si>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</si>
  <si>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</si>
  <si>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</si>
  <si>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</si>
  <si>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5.1.2.13</t>
  </si>
  <si>
    <t>5.1.1.1</t>
  </si>
  <si>
    <t>5.1.3.1</t>
  </si>
  <si>
    <t>5.1.4.1</t>
  </si>
  <si>
    <t>5.1.4.2</t>
  </si>
  <si>
    <t>5.1.4.3</t>
  </si>
  <si>
    <t>5.1.4.4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</si>
  <si>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</si>
  <si>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</si>
  <si>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</si>
  <si>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</si>
  <si>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</si>
  <si>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</si>
  <si>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</si>
  <si>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</si>
  <si>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</si>
  <si>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</si>
  <si>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</si>
  <si>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</si>
  <si>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</si>
  <si>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</si>
  <si>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5.4.1.1</t>
  </si>
  <si>
    <t>5.4.1.2</t>
  </si>
  <si>
    <t>5.4.1.3</t>
  </si>
  <si>
    <t>5.4.1.4</t>
  </si>
  <si>
    <t>5.4.1.5</t>
  </si>
  <si>
    <t>5.4.1.6</t>
  </si>
  <si>
    <t>5.4.1.7</t>
  </si>
  <si>
    <t>5.4.2.1</t>
  </si>
  <si>
    <t>4.4.2.1</t>
  </si>
  <si>
    <t>5.4.2.2</t>
  </si>
  <si>
    <t>5.4.2.3</t>
  </si>
  <si>
    <t>5.4.3.1</t>
  </si>
  <si>
    <t>5.4.3.2</t>
  </si>
  <si>
    <t>5.4.3.3</t>
  </si>
  <si>
    <t>5.4.3.4</t>
  </si>
  <si>
    <t>5.4.4.1</t>
  </si>
  <si>
    <t>5.4.4.2</t>
  </si>
  <si>
    <t>5.4.4.3</t>
  </si>
  <si>
    <t>5.4.5.1</t>
  </si>
  <si>
    <t>5.4.5.2</t>
  </si>
  <si>
    <t>5.4.5.3</t>
  </si>
  <si>
    <t>5.5.1</t>
  </si>
  <si>
    <t>2.2.1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</si>
  <si>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</si>
  <si>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</si>
  <si>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</si>
  <si>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</si>
  <si>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</si>
  <si>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</si>
  <si>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</si>
  <si>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</si>
  <si>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</si>
  <si>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5.5.11</t>
  </si>
  <si>
    <t>5.5.12</t>
  </si>
  <si>
    <t>5.5.13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</si>
  <si>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</si>
  <si>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</si>
  <si>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</si>
  <si>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</si>
  <si>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</si>
  <si>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</si>
  <si>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</si>
  <si>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</si>
  <si>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วัน  7  เมษายน   2566</t>
  </si>
  <si>
    <t>4.1.1.1</t>
  </si>
  <si>
    <t>4.1.1.2</t>
  </si>
  <si>
    <t>4.1.1.3</t>
  </si>
  <si>
    <t>4.1.1.4</t>
  </si>
  <si>
    <t>4.1.1.5</t>
  </si>
  <si>
    <t>4.1.1.6</t>
  </si>
  <si>
    <t>4.1.1.7</t>
  </si>
  <si>
    <t>4.1.1.8</t>
  </si>
  <si>
    <t>4.1.2.1</t>
  </si>
  <si>
    <t>4.1.2.2</t>
  </si>
  <si>
    <t>4.1.2.3</t>
  </si>
  <si>
    <t>4.1.4.1</t>
  </si>
  <si>
    <t>4.1.4.2</t>
  </si>
  <si>
    <t>4.1.4.3</t>
  </si>
  <si>
    <t>4.1.4.4</t>
  </si>
  <si>
    <t>4.1.4.5</t>
  </si>
  <si>
    <t>4.1.4.6</t>
  </si>
  <si>
    <t>4.1.4.7</t>
  </si>
  <si>
    <t>4.1.4.8</t>
  </si>
  <si>
    <t>4.1.4.9</t>
  </si>
  <si>
    <t>4.1.4.10</t>
  </si>
  <si>
    <t>4.1.5.1</t>
  </si>
  <si>
    <t>4.1.5.2</t>
  </si>
  <si>
    <t>4.1.5.3</t>
  </si>
  <si>
    <t>4.1.6.1</t>
  </si>
  <si>
    <t>3.1.6.1</t>
  </si>
  <si>
    <t>4.1.7.1</t>
  </si>
  <si>
    <t>3.1.3.1</t>
  </si>
  <si>
    <t>4.1.8.1</t>
  </si>
  <si>
    <t>4.1.9.1</t>
  </si>
  <si>
    <t>4.1.10.1</t>
  </si>
  <si>
    <t>4.1.11.1</t>
  </si>
  <si>
    <t>4.1.14.1</t>
  </si>
  <si>
    <t>4.1.15.1</t>
  </si>
  <si>
    <t>4.2.1.1</t>
  </si>
  <si>
    <t>4.2.1.1.1</t>
  </si>
  <si>
    <t>4.2.1.1.2</t>
  </si>
  <si>
    <t>4.2.1.2</t>
  </si>
  <si>
    <t>4.2.1.3</t>
  </si>
  <si>
    <t>4.2.2.1</t>
  </si>
  <si>
    <t>4.2.3.1</t>
  </si>
  <si>
    <t>4.2.3.2</t>
  </si>
  <si>
    <t>4.2.3.3</t>
  </si>
  <si>
    <t>4.2.3.4</t>
  </si>
  <si>
    <t>4.2.3.5</t>
  </si>
  <si>
    <t>4.2.3.6</t>
  </si>
  <si>
    <t>4.2.3.7</t>
  </si>
  <si>
    <t>4.2.3.8</t>
  </si>
  <si>
    <t>4.2.4.1</t>
  </si>
  <si>
    <t>4.2.5.1</t>
  </si>
  <si>
    <t>4.2.6.1</t>
  </si>
  <si>
    <t>4.2.6.2</t>
  </si>
  <si>
    <t>4.2.6.3</t>
  </si>
  <si>
    <t>4.2.7.1</t>
  </si>
  <si>
    <t>4.2.8.1</t>
  </si>
  <si>
    <t>4.2.8.2</t>
  </si>
  <si>
    <t>4.2.9.1</t>
  </si>
  <si>
    <t>4.3.1.1</t>
  </si>
  <si>
    <t>4.3.1.2</t>
  </si>
  <si>
    <t>4.3.1.3</t>
  </si>
  <si>
    <t>4.3.1.4</t>
  </si>
  <si>
    <t>4.3.1.5</t>
  </si>
  <si>
    <t>4.3.2.1</t>
  </si>
  <si>
    <t>4.3.3.1</t>
  </si>
  <si>
    <t>4.3.3.2</t>
  </si>
  <si>
    <t>4.4.1.1</t>
  </si>
  <si>
    <t>4.4.3.1</t>
  </si>
  <si>
    <t>4.4.3.2</t>
  </si>
  <si>
    <t>4.4.3.3</t>
  </si>
  <si>
    <t>วันที่  7  เมษายน  2566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</si>
  <si>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</si>
  <si>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</si>
  <si>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</si>
  <si>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</si>
  <si>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</si>
  <si>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</si>
  <si>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</si>
  <si>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</si>
  <si>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</si>
  <si>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3.1.1.10</t>
  </si>
  <si>
    <t>3.1.1.11</t>
  </si>
  <si>
    <t>3.1.1.12</t>
  </si>
  <si>
    <t>3.1.2.1.1</t>
  </si>
  <si>
    <t>3.1.2.1.2</t>
  </si>
  <si>
    <t>3.1.2.1.3</t>
  </si>
  <si>
    <t>3.1.2.1.4</t>
  </si>
  <si>
    <t>3.1.2.1.5</t>
  </si>
  <si>
    <t>3.1.2.1.6</t>
  </si>
  <si>
    <t>3.1.2.2.1</t>
  </si>
  <si>
    <t>3.1.2.2.2</t>
  </si>
  <si>
    <t>3.1.2.2.3</t>
  </si>
  <si>
    <t>3.1.2.2.4</t>
  </si>
  <si>
    <t>3.1.3.2</t>
  </si>
  <si>
    <t>3.1.3.3</t>
  </si>
  <si>
    <t>3.1.3.4</t>
  </si>
  <si>
    <t>3.1.4.1.1</t>
  </si>
  <si>
    <t>3.1.4.1.2</t>
  </si>
  <si>
    <t>3.1.4.1.1.1</t>
  </si>
  <si>
    <t>3.1.4.1.1.2</t>
  </si>
  <si>
    <t>3.1.4.1.2.1</t>
  </si>
  <si>
    <t>3.1.4.1.2.2</t>
  </si>
  <si>
    <t>3.1.4.1.2.3</t>
  </si>
  <si>
    <t>3.1.4.1.2.4</t>
  </si>
  <si>
    <t>3.1.4.2.1</t>
  </si>
  <si>
    <t>3.1.4.2.2</t>
  </si>
  <si>
    <t>3.1.4.2.3</t>
  </si>
  <si>
    <t>3.1.4.2.4</t>
  </si>
  <si>
    <t>3.1.4.2.5</t>
  </si>
  <si>
    <t>3.1.4.2.6</t>
  </si>
  <si>
    <t>3.1.4.2.7</t>
  </si>
  <si>
    <t>3.1.4.2.8</t>
  </si>
  <si>
    <t>3.1.4.2.8.1</t>
  </si>
  <si>
    <t>3.1.4.2.9</t>
  </si>
  <si>
    <t>3.1.4.2.9.1</t>
  </si>
  <si>
    <t>3.1.4.2.9.2</t>
  </si>
  <si>
    <t>3.1.4.2.9.3</t>
  </si>
  <si>
    <t>3.1.4.2.9.4</t>
  </si>
  <si>
    <t>3.1.4.3.1</t>
  </si>
  <si>
    <t>3.1.4.3.1.1</t>
  </si>
  <si>
    <t>3.1.4.3.1.2</t>
  </si>
  <si>
    <t>3.1.4.4.1</t>
  </si>
  <si>
    <t>3.1.4.4.1.1</t>
  </si>
  <si>
    <t>3.1.4.4.1.2</t>
  </si>
  <si>
    <t>3.1.4.5.1</t>
  </si>
  <si>
    <t>3.1.4.5.1.1</t>
  </si>
  <si>
    <t>3.1.4.5.1.2</t>
  </si>
  <si>
    <t>3.1.4.6.1</t>
  </si>
  <si>
    <t>3.1.4.6.1.1</t>
  </si>
  <si>
    <t>3.1.4.6.1.2</t>
  </si>
  <si>
    <t>3.1.4.7.1</t>
  </si>
  <si>
    <t>3.1.4.7.1.1</t>
  </si>
  <si>
    <t>3.1.4.7.1.2</t>
  </si>
  <si>
    <t>3.1.4.8.1</t>
  </si>
  <si>
    <t>3.1.4.8.2</t>
  </si>
  <si>
    <t>3.1.4.8.3</t>
  </si>
  <si>
    <t>3.1.4.8.4</t>
  </si>
  <si>
    <t>3.1.4.9.1</t>
  </si>
  <si>
    <t>3.1.4.9.2</t>
  </si>
  <si>
    <t>3.1.4.9.3</t>
  </si>
  <si>
    <t>3.1.4.9.4</t>
  </si>
  <si>
    <t>3.1.5.1.1</t>
  </si>
  <si>
    <t>3.1.5.1.2</t>
  </si>
  <si>
    <t>3.1.5.1.3</t>
  </si>
  <si>
    <t>3.1.5.1.4</t>
  </si>
  <si>
    <t>3.1.5.1.5</t>
  </si>
  <si>
    <t>3.1.5.1.6</t>
  </si>
  <si>
    <t>3.1.5.1.7</t>
  </si>
  <si>
    <t>3.1.5.1.8</t>
  </si>
  <si>
    <t>3.1.5.1.9</t>
  </si>
  <si>
    <t>3.1.5.1.10</t>
  </si>
  <si>
    <t>3.1.5.1.11</t>
  </si>
  <si>
    <t>3.1.5.1.12</t>
  </si>
  <si>
    <t>3.1.5.1.13</t>
  </si>
  <si>
    <t>3.1.5.1.14</t>
  </si>
  <si>
    <t>3.1.5.1.15</t>
  </si>
  <si>
    <t>3.1.5.1.16</t>
  </si>
  <si>
    <t>3.1.5.1.17</t>
  </si>
  <si>
    <t>3.1.5.1.18</t>
  </si>
  <si>
    <t>3.1.5.2.1</t>
  </si>
  <si>
    <t>3.1.5.2.2</t>
  </si>
  <si>
    <t>3.1.5.2.3</t>
  </si>
  <si>
    <t>3.1.5.2.4</t>
  </si>
  <si>
    <t>3.1.5.2.5</t>
  </si>
  <si>
    <t>3.1.5.2.6</t>
  </si>
  <si>
    <t>3.1.5.2.7</t>
  </si>
  <si>
    <t>3.1.5.2.8</t>
  </si>
  <si>
    <t>3.1.5.2.9</t>
  </si>
  <si>
    <t>3.1.5.2.10</t>
  </si>
  <si>
    <t>3.1.5.2.11</t>
  </si>
  <si>
    <t>3.1.5.2.12</t>
  </si>
  <si>
    <t>3.1.5.2.13</t>
  </si>
  <si>
    <t>3.1.6.1.1</t>
  </si>
  <si>
    <t>3.1.6.2</t>
  </si>
  <si>
    <t>3.1.6.2.1</t>
  </si>
  <si>
    <t>3.1.6.3</t>
  </si>
  <si>
    <t>3.1.6.4</t>
  </si>
  <si>
    <t>3.1.6.4.2</t>
  </si>
  <si>
    <t>3.1.6.4.3</t>
  </si>
  <si>
    <t>3.1.6.4.4</t>
  </si>
  <si>
    <t>3.1.6.4.5</t>
  </si>
  <si>
    <t>3.1.6.5</t>
  </si>
  <si>
    <t>3.1.6.6</t>
  </si>
  <si>
    <t>3.1.6.7</t>
  </si>
  <si>
    <t>3.1.6.8</t>
  </si>
  <si>
    <t>3.1.6.9</t>
  </si>
  <si>
    <t>3.1.6.10</t>
  </si>
  <si>
    <t>3.1.6.11</t>
  </si>
  <si>
    <t>3.1.6.11.1</t>
  </si>
  <si>
    <t>3.1.6.11.4</t>
  </si>
  <si>
    <t>3.1.6.11.2</t>
  </si>
  <si>
    <t>3.1.6.11.3</t>
  </si>
  <si>
    <t>3.1.6.11.5</t>
  </si>
  <si>
    <t>3.1.7.1</t>
  </si>
  <si>
    <t>3.1.7.2</t>
  </si>
  <si>
    <t>3.1.7.3</t>
  </si>
  <si>
    <t>3.1.7.4</t>
  </si>
  <si>
    <t>3.1.8.1.1</t>
  </si>
  <si>
    <t>3.1.8.1.2</t>
  </si>
  <si>
    <t>3.1.8.1.3</t>
  </si>
  <si>
    <t>3.1.8.1.4</t>
  </si>
  <si>
    <t>3.1.9.1</t>
  </si>
  <si>
    <t>3.1.9.2</t>
  </si>
  <si>
    <t>3.2.1.1.1</t>
  </si>
  <si>
    <t>3.2.1.1.2</t>
  </si>
  <si>
    <t>3.2.1.1.3</t>
  </si>
  <si>
    <t>3.2.2.1.1</t>
  </si>
  <si>
    <t>3.2.2.1.2</t>
  </si>
  <si>
    <t>3.2.2.1.3</t>
  </si>
  <si>
    <t>3.2.2.2.1</t>
  </si>
  <si>
    <t>3.2.2.2.2</t>
  </si>
  <si>
    <t>3.2.2.2.3</t>
  </si>
  <si>
    <t>3.2.3.1.1</t>
  </si>
  <si>
    <t>3.2.3.1.2</t>
  </si>
  <si>
    <t>3.2.3.1.3</t>
  </si>
  <si>
    <t>3.2.4.1.1</t>
  </si>
  <si>
    <t>3.2.4.2.1</t>
  </si>
  <si>
    <t>3.2.4.2.2</t>
  </si>
  <si>
    <t>3.2.4.2.3</t>
  </si>
  <si>
    <t>3.2.4.2.4</t>
  </si>
  <si>
    <t>3.2.4.2.5</t>
  </si>
  <si>
    <t>3.2.4.2.6</t>
  </si>
  <si>
    <t>3.3.1</t>
  </si>
  <si>
    <t>งานจัดสวนในพื้นที่ตามตำแหน่งที่ระบุในแบบรูปรายการ พร้อมงานระบบไฟฟ้าและงานระบบประปา กำหนดตำแหน่งภายหลัง</t>
  </si>
  <si>
    <t>วันที่  7 เมษายน  2566</t>
  </si>
  <si>
    <t>2.2.2</t>
  </si>
  <si>
    <t>2.1.1</t>
  </si>
  <si>
    <t>2.1.1.1</t>
  </si>
  <si>
    <t>2.1.1.2</t>
  </si>
  <si>
    <t>2.1.2</t>
  </si>
  <si>
    <t>2.1.2.1</t>
  </si>
  <si>
    <t>2.1.2.2</t>
  </si>
  <si>
    <t>2.3.1.1</t>
  </si>
  <si>
    <t>2.3.1.2</t>
  </si>
  <si>
    <t>2.3.1.3</t>
  </si>
  <si>
    <t>2.3.1.4</t>
  </si>
  <si>
    <t>2.3.1.5</t>
  </si>
  <si>
    <t>2.3.1.6</t>
  </si>
  <si>
    <t>2.3.1.7</t>
  </si>
  <si>
    <t>2.3.1.8</t>
  </si>
  <si>
    <t>2.3.1.9</t>
  </si>
  <si>
    <t>2.3.1.10</t>
  </si>
  <si>
    <t>2.3.1.11</t>
  </si>
  <si>
    <t>2.3.2.1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</si>
  <si>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</si>
  <si>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</si>
  <si>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</si>
  <si>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</si>
  <si>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</si>
  <si>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</si>
  <si>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</si>
  <si>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</si>
  <si>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</si>
  <si>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</si>
  <si>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</si>
  <si>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2.3.3.1</t>
  </si>
  <si>
    <t>2.3.3.2</t>
  </si>
  <si>
    <t>2.3.3.3</t>
  </si>
  <si>
    <t>2.3.3.4</t>
  </si>
  <si>
    <t>2.3.3.5</t>
  </si>
  <si>
    <t>2.3.3.6</t>
  </si>
  <si>
    <t>2.3.3.7</t>
  </si>
  <si>
    <t>2.3.3.8</t>
  </si>
  <si>
    <t>2.3.3.9</t>
  </si>
  <si>
    <t>2.3.3.10</t>
  </si>
  <si>
    <t>2.3.3.11</t>
  </si>
  <si>
    <t>2.4.1.1</t>
  </si>
  <si>
    <t>2.4.1.2</t>
  </si>
  <si>
    <t>2.4.1.3</t>
  </si>
  <si>
    <t>2.4.1.4</t>
  </si>
  <si>
    <t>2.4.1.5</t>
  </si>
  <si>
    <t>2.4.1.6</t>
  </si>
  <si>
    <t>2.4.1.7</t>
  </si>
  <si>
    <t>2.4.1.8</t>
  </si>
  <si>
    <t>2.4.2.1</t>
  </si>
  <si>
    <t>2.4.2.2</t>
  </si>
  <si>
    <t>2.4.2.3</t>
  </si>
  <si>
    <t>2.4.2.4</t>
  </si>
  <si>
    <t>2.4.2.5</t>
  </si>
  <si>
    <t>2.4.2.6</t>
  </si>
  <si>
    <t>2.4.2.7</t>
  </si>
  <si>
    <t>2.4.2.8</t>
  </si>
  <si>
    <t>2.4.3.1</t>
  </si>
  <si>
    <t>2.4.3.2</t>
  </si>
  <si>
    <t>2.4.3.3</t>
  </si>
  <si>
    <t>2.4.3.4</t>
  </si>
  <si>
    <t>2.4.3.5</t>
  </si>
  <si>
    <t>2.4.3.6</t>
  </si>
  <si>
    <t>2.4.3.7</t>
  </si>
  <si>
    <t>2.4.3.8</t>
  </si>
  <si>
    <t>2.4.4.1</t>
  </si>
  <si>
    <t>2.4.4.2</t>
  </si>
  <si>
    <t>2.4.4.3</t>
  </si>
  <si>
    <t>2.4.4.4</t>
  </si>
  <si>
    <t>2.4.4.5</t>
  </si>
  <si>
    <t>2.4.4.6</t>
  </si>
  <si>
    <t>2.4.4.7</t>
  </si>
  <si>
    <t>2.4.5.1</t>
  </si>
  <si>
    <t>2.4.5.2</t>
  </si>
  <si>
    <t>2.4.5.3</t>
  </si>
  <si>
    <t>2.4.5.4</t>
  </si>
  <si>
    <t>2.4.5.5</t>
  </si>
  <si>
    <t>2.4.5.6</t>
  </si>
  <si>
    <t>2.4.5.7</t>
  </si>
  <si>
    <t>2.4.5.8</t>
  </si>
  <si>
    <t>2.5.1.1</t>
  </si>
  <si>
    <t>2.5.1.2</t>
  </si>
  <si>
    <t>2.5.1.3</t>
  </si>
  <si>
    <t>2.5.1.4</t>
  </si>
  <si>
    <t>2.5.1.5</t>
  </si>
  <si>
    <t>2.5.1.6</t>
  </si>
  <si>
    <t>2.5.1.7</t>
  </si>
  <si>
    <t>2.5.1.8</t>
  </si>
  <si>
    <t>2.5.1.9</t>
  </si>
  <si>
    <t>2.5.2.1</t>
  </si>
  <si>
    <t>2.5.2.2</t>
  </si>
  <si>
    <t>2.5.2.3</t>
  </si>
  <si>
    <t>2.5.2.4</t>
  </si>
  <si>
    <t>2.5.2.5</t>
  </si>
  <si>
    <t>2.5.2.6</t>
  </si>
  <si>
    <t>2.5.2.7</t>
  </si>
  <si>
    <t>2.5.2.8</t>
  </si>
  <si>
    <t>2.5.2.9</t>
  </si>
  <si>
    <t>2.5.3.1</t>
  </si>
  <si>
    <t>2.5.3.2</t>
  </si>
  <si>
    <t>2.5.3.3</t>
  </si>
  <si>
    <t>2.5.3.4</t>
  </si>
  <si>
    <t>2.5.3.5</t>
  </si>
  <si>
    <t>2.5.3.6</t>
  </si>
  <si>
    <t>2.5.3.7</t>
  </si>
  <si>
    <t>2.5.3.8</t>
  </si>
  <si>
    <t>2.5.3.9</t>
  </si>
  <si>
    <t>2.5.4.1</t>
  </si>
  <si>
    <t>2.5.4.2</t>
  </si>
  <si>
    <t>2.5.4.3</t>
  </si>
  <si>
    <t>2.5.4.4</t>
  </si>
  <si>
    <t>2.5.4.5</t>
  </si>
  <si>
    <t>2.5.4.6</t>
  </si>
  <si>
    <t>2.5.4.7</t>
  </si>
  <si>
    <t>2.5.4.8</t>
  </si>
  <si>
    <t>2.5.4.9</t>
  </si>
  <si>
    <t>2.5.5.1</t>
  </si>
  <si>
    <t>2.5.5.2</t>
  </si>
  <si>
    <t>2.5.5.3</t>
  </si>
  <si>
    <t>2.5.5.4</t>
  </si>
  <si>
    <t>2.5.5.5</t>
  </si>
  <si>
    <t>2.5.5.6</t>
  </si>
  <si>
    <t>2.5.5.7</t>
  </si>
  <si>
    <t>2.5.5.8</t>
  </si>
  <si>
    <t>2.5.5.9</t>
  </si>
  <si>
    <t>2.5.6.1</t>
  </si>
  <si>
    <t>2.5.6.2</t>
  </si>
  <si>
    <t>2.5.6.3</t>
  </si>
  <si>
    <t>2.5.6.4</t>
  </si>
  <si>
    <t>2.5.6.5</t>
  </si>
  <si>
    <t>2.5.6.6</t>
  </si>
  <si>
    <t>2.5.6.7</t>
  </si>
  <si>
    <t>2.5.6.8</t>
  </si>
  <si>
    <t>2.5.6.9</t>
  </si>
  <si>
    <t>2.5.7.1</t>
  </si>
  <si>
    <t>2.5.7.2</t>
  </si>
  <si>
    <t>2.5.7.3</t>
  </si>
  <si>
    <t>2.5.7.4</t>
  </si>
  <si>
    <t>2.5.7.5</t>
  </si>
  <si>
    <t>2.5.7.6</t>
  </si>
  <si>
    <t>2.5.7.7</t>
  </si>
  <si>
    <t>2.5.7.8</t>
  </si>
  <si>
    <t>2.5.7.9</t>
  </si>
  <si>
    <t>2.5.8.1</t>
  </si>
  <si>
    <t>2.5.8.2</t>
  </si>
  <si>
    <t>2.5.8.3</t>
  </si>
  <si>
    <t>2.5.8.4</t>
  </si>
  <si>
    <t>2.5.8.5</t>
  </si>
  <si>
    <t>2.5.8.6</t>
  </si>
  <si>
    <t>2.5.8.7</t>
  </si>
  <si>
    <t>2.5.8.8</t>
  </si>
  <si>
    <t>2.5.8.9</t>
  </si>
  <si>
    <t>2.5.9.1</t>
  </si>
  <si>
    <t>2.5.9.2</t>
  </si>
  <si>
    <t>2.5.9.3</t>
  </si>
  <si>
    <t>2.5.9.4</t>
  </si>
  <si>
    <t>2.5.9.5</t>
  </si>
  <si>
    <t>2.5.9.6</t>
  </si>
  <si>
    <t>2.5.9.7</t>
  </si>
  <si>
    <t>2.5.9.8</t>
  </si>
  <si>
    <t>2.5.9.9</t>
  </si>
  <si>
    <t>2.5.10.1</t>
  </si>
  <si>
    <t>2.5.10.2</t>
  </si>
  <si>
    <t>2.5.10.3</t>
  </si>
  <si>
    <t>2.5.10.4</t>
  </si>
  <si>
    <t>2.5.10.5</t>
  </si>
  <si>
    <t>2.5.10.6</t>
  </si>
  <si>
    <t>2.5.10.7</t>
  </si>
  <si>
    <t>2.5.10.8</t>
  </si>
  <si>
    <t>2.5.10.9</t>
  </si>
  <si>
    <t>2.5.11.1</t>
  </si>
  <si>
    <t>2.5.11.2</t>
  </si>
  <si>
    <t>2.5.11.3</t>
  </si>
  <si>
    <t>2.5.11.4</t>
  </si>
  <si>
    <t>2.5.11.5</t>
  </si>
  <si>
    <t>2.5.11.6</t>
  </si>
  <si>
    <t>2.5.11.7</t>
  </si>
  <si>
    <t>2.5.11.8</t>
  </si>
  <si>
    <t>2.5.11.9</t>
  </si>
  <si>
    <t>2.5.12.1</t>
  </si>
  <si>
    <t>2.5.12.2</t>
  </si>
  <si>
    <t>2.5.12.3</t>
  </si>
  <si>
    <t>2.5.12.4</t>
  </si>
  <si>
    <t>2.5.12.5</t>
  </si>
  <si>
    <t>2.5.12.6</t>
  </si>
  <si>
    <t>2.5.12.7</t>
  </si>
  <si>
    <t>2.5.12.8</t>
  </si>
  <si>
    <t>2.5.12.9</t>
  </si>
  <si>
    <t>2.5.13.1</t>
  </si>
  <si>
    <t>2.5.13.2</t>
  </si>
  <si>
    <t>2.5.13.3</t>
  </si>
  <si>
    <t>2.5.13.4</t>
  </si>
  <si>
    <t>2.5.13.5</t>
  </si>
  <si>
    <t>2.5.13.6</t>
  </si>
  <si>
    <t>2.5.13.7</t>
  </si>
  <si>
    <t>2.5.13.8</t>
  </si>
  <si>
    <t>2.5.13.9</t>
  </si>
  <si>
    <t>2.6.1.1</t>
  </si>
  <si>
    <t>2.6.3.3</t>
  </si>
  <si>
    <t>2.6.1.2</t>
  </si>
  <si>
    <t>2.6.1.3</t>
  </si>
  <si>
    <t>2.6.1.4</t>
  </si>
  <si>
    <t>2.6.1.5</t>
  </si>
  <si>
    <t>2.6.1.6</t>
  </si>
  <si>
    <t>2.6.1.7</t>
  </si>
  <si>
    <t>2.6.1.8</t>
  </si>
  <si>
    <t>2.6.2.1</t>
  </si>
  <si>
    <t>2.6.2.6</t>
  </si>
  <si>
    <t>2.6.2.3</t>
  </si>
  <si>
    <t>2.6.2.2</t>
  </si>
  <si>
    <t>2.6.2.4</t>
  </si>
  <si>
    <t>2.6.2.5</t>
  </si>
  <si>
    <t>2.6.2.7</t>
  </si>
  <si>
    <t>2.6.2.8</t>
  </si>
  <si>
    <t>2.6.3.1</t>
  </si>
  <si>
    <t>2.6.3.2</t>
  </si>
  <si>
    <t>2.6.3.4</t>
  </si>
  <si>
    <t>2.6.3.5</t>
  </si>
  <si>
    <t>2.6.3.6</t>
  </si>
  <si>
    <t>2.6.3.7</t>
  </si>
  <si>
    <t>2.6.3.8</t>
  </si>
  <si>
    <t>2.6.4.1</t>
  </si>
  <si>
    <t>2.6.4.2</t>
  </si>
  <si>
    <t>2.6.4.3</t>
  </si>
  <si>
    <t>2.6.4.4</t>
  </si>
  <si>
    <t>2.6.4.5</t>
  </si>
  <si>
    <t>2.6.4.6</t>
  </si>
  <si>
    <t>2.6.4.7</t>
  </si>
  <si>
    <t>2.6.4.8</t>
  </si>
  <si>
    <t>2.7.1.1</t>
  </si>
  <si>
    <t>2.7.2.2</t>
  </si>
  <si>
    <t>2.7.3.3</t>
  </si>
  <si>
    <t>2.7.1.2</t>
  </si>
  <si>
    <t>2.7.1.3</t>
  </si>
  <si>
    <t>2.7.1.4</t>
  </si>
  <si>
    <t>2.7.1.5</t>
  </si>
  <si>
    <t>2.7.1.6</t>
  </si>
  <si>
    <t>2.7.1.7</t>
  </si>
  <si>
    <t>2.7.1.8</t>
  </si>
  <si>
    <t>2.7.2.1</t>
  </si>
  <si>
    <t>2.7.2.3</t>
  </si>
  <si>
    <t>2.7.2.4</t>
  </si>
  <si>
    <t>2.7.2.5</t>
  </si>
  <si>
    <t>2.7.2.6</t>
  </si>
  <si>
    <t>2.7.2.7</t>
  </si>
  <si>
    <t>2.7.2.8</t>
  </si>
  <si>
    <t>2.7.3.1</t>
  </si>
  <si>
    <t>2.7.4.1</t>
  </si>
  <si>
    <t>2.7.3.2</t>
  </si>
  <si>
    <t>2.7.3.4</t>
  </si>
  <si>
    <t>2.7.3.5</t>
  </si>
  <si>
    <t>2.7.3.6</t>
  </si>
  <si>
    <t>2.7.3.7</t>
  </si>
  <si>
    <t>2.7.3.8</t>
  </si>
  <si>
    <t>2.7.4.2</t>
  </si>
  <si>
    <t>2.7.4.3</t>
  </si>
  <si>
    <t>2.7.4.4</t>
  </si>
  <si>
    <t>2.7.4.5</t>
  </si>
  <si>
    <t>2.7.4.6</t>
  </si>
  <si>
    <t>2.7.4.7</t>
  </si>
  <si>
    <t>2.7.4.8</t>
  </si>
  <si>
    <t>2.7.5.1</t>
  </si>
  <si>
    <t>2.7.5.2</t>
  </si>
  <si>
    <t>2.7.5.3</t>
  </si>
  <si>
    <t>2.7.5.4</t>
  </si>
  <si>
    <t>2.7.5.5</t>
  </si>
  <si>
    <t>2.7.5.6</t>
  </si>
  <si>
    <t>2.7.5.7</t>
  </si>
  <si>
    <t>2.7.5.8</t>
  </si>
  <si>
    <t>2.8.1.1</t>
  </si>
  <si>
    <t>2.8.1.2</t>
  </si>
  <si>
    <t>2.8.1.3</t>
  </si>
  <si>
    <t>2.8.1.4</t>
  </si>
  <si>
    <t>2.8.1.5</t>
  </si>
  <si>
    <t>2.8.1.6</t>
  </si>
  <si>
    <t>2.8.1.7</t>
  </si>
  <si>
    <t>2.8.1.8</t>
  </si>
  <si>
    <t>2.8.2.1</t>
  </si>
  <si>
    <t>2.8.2.2</t>
  </si>
  <si>
    <t>2.8.2.3</t>
  </si>
  <si>
    <t>2.8.2.4</t>
  </si>
  <si>
    <t>2.8.2.5</t>
  </si>
  <si>
    <t>2.8.2.6</t>
  </si>
  <si>
    <t>2.8.2.7</t>
  </si>
  <si>
    <t>2.8.2.8</t>
  </si>
  <si>
    <t>2.8.3.1</t>
  </si>
  <si>
    <t>2.8.3.2</t>
  </si>
  <si>
    <t>2.8.3.3</t>
  </si>
  <si>
    <t>2.8.3.4</t>
  </si>
  <si>
    <t>2.8.3.5</t>
  </si>
  <si>
    <t>2.8.3.6</t>
  </si>
  <si>
    <t>2.8.3.7</t>
  </si>
  <si>
    <t>2.8.3.8</t>
  </si>
  <si>
    <t>2.8.4.1</t>
  </si>
  <si>
    <t>2.8.4.2</t>
  </si>
  <si>
    <t>2.8.4.3</t>
  </si>
  <si>
    <t>2.8.4.4</t>
  </si>
  <si>
    <t>2.8.4.5</t>
  </si>
  <si>
    <t>2.8.4.6</t>
  </si>
  <si>
    <t>2.8.4.7</t>
  </si>
  <si>
    <t>2.8.4.8</t>
  </si>
  <si>
    <t>2.8.5.1</t>
  </si>
  <si>
    <t>2.8.5.2</t>
  </si>
  <si>
    <t>2.8.5.3</t>
  </si>
  <si>
    <t>2.8.5.4</t>
  </si>
  <si>
    <t>2.8.5.5</t>
  </si>
  <si>
    <t>2.8.5.6</t>
  </si>
  <si>
    <t>2.8.5.7</t>
  </si>
  <si>
    <t>2.8.5.8</t>
  </si>
  <si>
    <t>2.8.6.1</t>
  </si>
  <si>
    <t>2.8.6.2</t>
  </si>
  <si>
    <t>2.8.6.3</t>
  </si>
  <si>
    <t>2.8.6.4</t>
  </si>
  <si>
    <t>2.8.6.5</t>
  </si>
  <si>
    <t>2.8.6.6</t>
  </si>
  <si>
    <t>2.8.6.7</t>
  </si>
  <si>
    <t>2.8.6.8</t>
  </si>
  <si>
    <t>2.8.7.1</t>
  </si>
  <si>
    <t>2.8.7.2</t>
  </si>
  <si>
    <t>2.8.7.3</t>
  </si>
  <si>
    <t>2.8.7.4</t>
  </si>
  <si>
    <t>2.8.7.5</t>
  </si>
  <si>
    <t>2.8.7.6</t>
  </si>
  <si>
    <t>2.8.7.7</t>
  </si>
  <si>
    <t>2.8.7.8</t>
  </si>
  <si>
    <t>2.8.8.1</t>
  </si>
  <si>
    <t>2.8.8.2</t>
  </si>
  <si>
    <t>2.8.8.3</t>
  </si>
  <si>
    <t>2.8.8.4</t>
  </si>
  <si>
    <t>2.8.8.5</t>
  </si>
  <si>
    <t>2.8.8.6</t>
  </si>
  <si>
    <t>2.8.8.7</t>
  </si>
  <si>
    <t>2.8.8.8</t>
  </si>
  <si>
    <t>2.8.9.1</t>
  </si>
  <si>
    <t>2.8.9.2</t>
  </si>
  <si>
    <t>2.8.9.3</t>
  </si>
  <si>
    <t>2.8.9.4</t>
  </si>
  <si>
    <t>2.8.9.5</t>
  </si>
  <si>
    <t>2.8.9.6</t>
  </si>
  <si>
    <t>2.8.9.7</t>
  </si>
  <si>
    <t>2.8.9.8</t>
  </si>
  <si>
    <t>งานระบบ Computer System</t>
  </si>
  <si>
    <t>5.8.1</t>
  </si>
  <si>
    <t>5.8.2</t>
  </si>
  <si>
    <t>5.8.3</t>
  </si>
  <si>
    <t>5.8.4</t>
  </si>
  <si>
    <t>5.8.5</t>
  </si>
  <si>
    <t>5.8.6</t>
  </si>
  <si>
    <t>5.8.7</t>
  </si>
  <si>
    <t>5.8.8</t>
  </si>
  <si>
    <t>5.9.1</t>
  </si>
  <si>
    <t>5.9.2</t>
  </si>
  <si>
    <t>5.9.3</t>
  </si>
  <si>
    <t>5.9.4</t>
  </si>
  <si>
    <t>LINK/SIRICHAI</t>
  </si>
  <si>
    <t>PC COMPUTER i5 8GB 256 SSD WIN11P</t>
  </si>
  <si>
    <t>MONITOR 24 "</t>
  </si>
  <si>
    <t>BOX BUNDLE WIITH SOFTWARE</t>
  </si>
  <si>
    <t>งวดที่ 1</t>
  </si>
  <si>
    <t>งวดที่ 2</t>
  </si>
  <si>
    <t>งวดที่ 3</t>
  </si>
  <si>
    <t>งวดที่ 4</t>
  </si>
  <si>
    <t>งวดที่ 5</t>
  </si>
  <si>
    <t>งวดที่ 6</t>
  </si>
  <si>
    <t>งวดที่ 7</t>
  </si>
  <si>
    <t>งวดที่ 8</t>
  </si>
  <si>
    <t>งวดที่ 9</t>
  </si>
  <si>
    <t>งวดที่ 10</t>
  </si>
  <si>
    <t>2.4.4.8</t>
  </si>
  <si>
    <t>2.9.1.1</t>
  </si>
  <si>
    <t>2.9.1.2</t>
  </si>
  <si>
    <t>2.9.1.3</t>
  </si>
  <si>
    <t>2.9.1.4</t>
  </si>
  <si>
    <t>2.9.1.5</t>
  </si>
  <si>
    <t>2.9.1.6</t>
  </si>
  <si>
    <t>2.9.2.1</t>
  </si>
  <si>
    <t>2.9.2.2</t>
  </si>
  <si>
    <t>2.9.2.3</t>
  </si>
  <si>
    <t>2.9.2.4</t>
  </si>
  <si>
    <t>2.9.2.5</t>
  </si>
  <si>
    <t>2.9.2.6</t>
  </si>
  <si>
    <t>2.9.2.7</t>
  </si>
  <si>
    <t>2.9.2.8</t>
  </si>
  <si>
    <t>2.9.3.1</t>
  </si>
  <si>
    <t>2.9.3.2</t>
  </si>
  <si>
    <t>2.9.3.3</t>
  </si>
  <si>
    <t>2.9.3.4</t>
  </si>
  <si>
    <t>2.9.3.5</t>
  </si>
  <si>
    <t>2.9.3.6</t>
  </si>
  <si>
    <t>2.10.1.1</t>
  </si>
  <si>
    <t>2.10.1.2</t>
  </si>
  <si>
    <t>2.10.1.3</t>
  </si>
  <si>
    <t>2.10.1.4</t>
  </si>
  <si>
    <t>2.10.1.5</t>
  </si>
  <si>
    <t>2.10.1.6</t>
  </si>
  <si>
    <t>2.10.1.7</t>
  </si>
  <si>
    <t>2.10.1.8</t>
  </si>
  <si>
    <t>2.10.2.1</t>
  </si>
  <si>
    <t>2.10.2.2</t>
  </si>
  <si>
    <t>2.10.2.3</t>
  </si>
  <si>
    <t>2.10.2.4</t>
  </si>
  <si>
    <t>2.10.2.5</t>
  </si>
  <si>
    <t>2.10.2.6</t>
  </si>
  <si>
    <t>2.10.2.7</t>
  </si>
  <si>
    <t>2.10.2.8</t>
  </si>
  <si>
    <t>2.10.3.1</t>
  </si>
  <si>
    <t>2.10.3.2</t>
  </si>
  <si>
    <t>2.10.3.3</t>
  </si>
  <si>
    <t>2.10.3.4</t>
  </si>
  <si>
    <t>2.10.3.5</t>
  </si>
  <si>
    <t>2.10.3.6</t>
  </si>
  <si>
    <t>2.10.3.7</t>
  </si>
  <si>
    <t>2.10.3.8</t>
  </si>
  <si>
    <t>2.10.4.1</t>
  </si>
  <si>
    <t>2.10.4.2</t>
  </si>
  <si>
    <t>2.10.4.3</t>
  </si>
  <si>
    <t>2.10.4.4</t>
  </si>
  <si>
    <t>2.10.4.5</t>
  </si>
  <si>
    <t>2.10.4.6</t>
  </si>
  <si>
    <t>2.10.4.7</t>
  </si>
  <si>
    <t>2.10.4.8</t>
  </si>
  <si>
    <t>2.10.5.1</t>
  </si>
  <si>
    <t>2.10.5.2</t>
  </si>
  <si>
    <t>2.10.5.3</t>
  </si>
  <si>
    <t>2.10.5.4</t>
  </si>
  <si>
    <t>2.10.5.5</t>
  </si>
  <si>
    <t>2.10.5.6</t>
  </si>
  <si>
    <t>2.10.5.7</t>
  </si>
  <si>
    <t>2.10.5.8</t>
  </si>
  <si>
    <t>2.11.1.1</t>
  </si>
  <si>
    <t>2.11.1.2</t>
  </si>
  <si>
    <t>2.11.1.3</t>
  </si>
  <si>
    <t>2.11.1.4</t>
  </si>
  <si>
    <t>2.11.1.5</t>
  </si>
  <si>
    <t>2.11.1.6</t>
  </si>
  <si>
    <t>2.11.1.7</t>
  </si>
  <si>
    <t>2.11.1.8</t>
  </si>
  <si>
    <t>2.11.2.1</t>
  </si>
  <si>
    <t>2.11.2.2</t>
  </si>
  <si>
    <t>2.11.2.3</t>
  </si>
  <si>
    <t>2.11.2.4</t>
  </si>
  <si>
    <t>2.11.2.5</t>
  </si>
  <si>
    <t>2.11.2.6</t>
  </si>
  <si>
    <t>2.11.2.7</t>
  </si>
  <si>
    <t>2.11.2.8</t>
  </si>
  <si>
    <t>2.11.3.1</t>
  </si>
  <si>
    <t>2.11.3.2</t>
  </si>
  <si>
    <t>2.11.3.3</t>
  </si>
  <si>
    <t>2.11.3.4</t>
  </si>
  <si>
    <t>2.11.3.5</t>
  </si>
  <si>
    <t>2.11.3.6</t>
  </si>
  <si>
    <t>2.11.3.7</t>
  </si>
  <si>
    <t>2.11.3.8</t>
  </si>
  <si>
    <t>2.11.4.1</t>
  </si>
  <si>
    <t>2.11.4.2</t>
  </si>
  <si>
    <t>2.11.4.3</t>
  </si>
  <si>
    <t>2.11.4.4</t>
  </si>
  <si>
    <t>2.11.4.5</t>
  </si>
  <si>
    <t>2.11.4.6</t>
  </si>
  <si>
    <t>2.11.4.7</t>
  </si>
  <si>
    <t>2.11.4.8</t>
  </si>
  <si>
    <t>2.11.5.1</t>
  </si>
  <si>
    <t>2.11.5.2</t>
  </si>
  <si>
    <t>2.11.5.3</t>
  </si>
  <si>
    <t>2.11.5.4</t>
  </si>
  <si>
    <t>2.11.5.5</t>
  </si>
  <si>
    <t>2.11.5.6</t>
  </si>
  <si>
    <t>2.11.5.7</t>
  </si>
  <si>
    <t>2.11.5.8</t>
  </si>
  <si>
    <t>2.11.6.1</t>
  </si>
  <si>
    <t>2.11.6.2</t>
  </si>
  <si>
    <t>2.11.6.3</t>
  </si>
  <si>
    <t>2.11.6.4</t>
  </si>
  <si>
    <t>2.11.6.5</t>
  </si>
  <si>
    <t>2.11.6.6</t>
  </si>
  <si>
    <t>2.11.6.7</t>
  </si>
  <si>
    <t>2.11.6.8</t>
  </si>
  <si>
    <t>2.11.7.1</t>
  </si>
  <si>
    <t>2.11.7.2</t>
  </si>
  <si>
    <t>2.11.7.3</t>
  </si>
  <si>
    <t>2.11.7.4</t>
  </si>
  <si>
    <t>2.11.7.5</t>
  </si>
  <si>
    <t>2.11.7.6</t>
  </si>
  <si>
    <t>2.11.7.7</t>
  </si>
  <si>
    <t>2.11.7.8</t>
  </si>
  <si>
    <t>2.11.8.1</t>
  </si>
  <si>
    <t>2.11.8.2</t>
  </si>
  <si>
    <t>2.11.8.3</t>
  </si>
  <si>
    <t>2.11.8.4</t>
  </si>
  <si>
    <t>2.11.8.5</t>
  </si>
  <si>
    <t>2.11.8.6</t>
  </si>
  <si>
    <t>2.11.8.7</t>
  </si>
  <si>
    <t>2.11.8.8</t>
  </si>
  <si>
    <t>2.11.9.1</t>
  </si>
  <si>
    <t>2.11.9.2</t>
  </si>
  <si>
    <t>2.11.9.3</t>
  </si>
  <si>
    <t>2.11.9.4</t>
  </si>
  <si>
    <t>2.11.9.5</t>
  </si>
  <si>
    <t>2.11.9.6</t>
  </si>
  <si>
    <t>2.11.9.7</t>
  </si>
  <si>
    <t>2.11.9.8</t>
  </si>
  <si>
    <t>2.12.1.1</t>
  </si>
  <si>
    <t>2.12.1.2</t>
  </si>
  <si>
    <t>2.12.1.3</t>
  </si>
  <si>
    <t>2.12.1.4</t>
  </si>
  <si>
    <t>2.12.1.5</t>
  </si>
  <si>
    <t>2.12.1.6</t>
  </si>
  <si>
    <t>2.12.2.1</t>
  </si>
  <si>
    <t>2.12.2.2</t>
  </si>
  <si>
    <t>2.12.2.3</t>
  </si>
  <si>
    <t>2.12.2.4</t>
  </si>
  <si>
    <t>2.12.2.5</t>
  </si>
  <si>
    <t>2.12.2.6</t>
  </si>
  <si>
    <t>2.13.1.1</t>
  </si>
  <si>
    <t>2.13.1.2</t>
  </si>
  <si>
    <t>2.13.1.3</t>
  </si>
  <si>
    <t>2.13.1.4</t>
  </si>
  <si>
    <t>2.13.1.5</t>
  </si>
  <si>
    <t>2.13.1.6</t>
  </si>
  <si>
    <t>2.13.1.7</t>
  </si>
  <si>
    <t>2.13.1.8</t>
  </si>
  <si>
    <t>2.13.2.1</t>
  </si>
  <si>
    <t>2.13.2.2</t>
  </si>
  <si>
    <t>2.13.2.3</t>
  </si>
  <si>
    <t>2.13.2.4</t>
  </si>
  <si>
    <t>2.13.2.5</t>
  </si>
  <si>
    <t>2.13.2.6</t>
  </si>
  <si>
    <t>H-Beam - 200x200x8x12 mm. (SC1)</t>
  </si>
  <si>
    <t>H-Beam - 588×300×12×20 mm. (SB1)</t>
  </si>
  <si>
    <t>H-Beam - 250x125x6x9 mm. (SB2)</t>
  </si>
  <si>
    <t>เหล็กกล่อง 50x50x3.2 mm. (A)</t>
  </si>
  <si>
    <t>เหล็กกล่อง 38x38x2.0 mm. (B)</t>
  </si>
  <si>
    <t>2.14.1</t>
  </si>
  <si>
    <t>2.14.2</t>
  </si>
  <si>
    <t>2.14.3</t>
  </si>
  <si>
    <t>2.14.4</t>
  </si>
  <si>
    <t>2.14.5</t>
  </si>
  <si>
    <t>2.14.6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</si>
  <si>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</si>
  <si>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</si>
  <si>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</si>
  <si>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</si>
  <si>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</si>
  <si>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</si>
  <si>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</si>
  <si>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</si>
  <si>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2.15.1</t>
  </si>
  <si>
    <t>2.15.2</t>
  </si>
  <si>
    <t>2.15.3</t>
  </si>
  <si>
    <t>2.15.4</t>
  </si>
  <si>
    <t>2.15.5</t>
  </si>
  <si>
    <t>2.15.6</t>
  </si>
  <si>
    <t>2.15.7</t>
  </si>
  <si>
    <t>2.15.8</t>
  </si>
  <si>
    <t>2.15.9</t>
  </si>
  <si>
    <t>2.16.1</t>
  </si>
  <si>
    <t>2.16.2</t>
  </si>
  <si>
    <t>2.16.3</t>
  </si>
  <si>
    <t>2.16.4</t>
  </si>
  <si>
    <t>2.16.5</t>
  </si>
  <si>
    <t>2.16.6</t>
  </si>
  <si>
    <t>2.16.7</t>
  </si>
  <si>
    <t>2.16.8</t>
  </si>
  <si>
    <t>2.17.1.1</t>
  </si>
  <si>
    <t>2.17.1.2</t>
  </si>
  <si>
    <t>2.17.1.3</t>
  </si>
  <si>
    <t>2.17.1.4</t>
  </si>
  <si>
    <t>2.17.1.5</t>
  </si>
  <si>
    <t>2.17.1.6</t>
  </si>
  <si>
    <t>2.17.1.7</t>
  </si>
  <si>
    <t>2.17.1.8</t>
  </si>
  <si>
    <t>2.17.1.9</t>
  </si>
  <si>
    <t>2.17.2.1</t>
  </si>
  <si>
    <t>2.17.2.2</t>
  </si>
  <si>
    <t>2.17.2.3</t>
  </si>
  <si>
    <t>2.17.2.4</t>
  </si>
  <si>
    <t>2.17.2.5</t>
  </si>
  <si>
    <t>2.17.2.6</t>
  </si>
  <si>
    <t>2.17.2.7</t>
  </si>
  <si>
    <t>2.17.2.8</t>
  </si>
  <si>
    <t>2.17.2.9</t>
  </si>
  <si>
    <t>2.17.3.1</t>
  </si>
  <si>
    <t>2.17.3.2</t>
  </si>
  <si>
    <t>2.17.3.3</t>
  </si>
  <si>
    <t>2.17.3.4</t>
  </si>
  <si>
    <t>2.17.3.5</t>
  </si>
  <si>
    <t>2.17.3.6</t>
  </si>
  <si>
    <t>2.18.1</t>
  </si>
  <si>
    <t>2.18.2</t>
  </si>
  <si>
    <t>2.18.3</t>
  </si>
  <si>
    <t>2.18.4</t>
  </si>
  <si>
    <t>2.18.5</t>
  </si>
  <si>
    <t>2.18.6</t>
  </si>
  <si>
    <t>2.18.7</t>
  </si>
  <si>
    <t>2.18.8</t>
  </si>
  <si>
    <t>2.18.9</t>
  </si>
  <si>
    <t>2.18.10</t>
  </si>
  <si>
    <t>2.18.11</t>
  </si>
  <si>
    <t>2.18.12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</si>
  <si>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</si>
  <si>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</si>
  <si>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</si>
  <si>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</si>
  <si>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</si>
  <si>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</si>
  <si>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</si>
  <si>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</si>
  <si>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</si>
  <si>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</si>
  <si>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1.1.2.1</t>
  </si>
  <si>
    <t>1.1.2.2</t>
  </si>
  <si>
    <t>1.1.2.3</t>
  </si>
  <si>
    <t>1.1.2.4</t>
  </si>
  <si>
    <t>1.1.2.5</t>
  </si>
  <si>
    <t>1.1.2.6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</si>
  <si>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</si>
  <si>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</si>
  <si>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</si>
  <si>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</si>
  <si>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</si>
  <si>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</si>
  <si>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</si>
  <si>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</si>
  <si>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1.1.4.1</t>
  </si>
  <si>
    <t>วันที่ 7 เมษายน   2566</t>
  </si>
  <si>
    <t>เงินล่วงหน้า จ่าย        5       %</t>
  </si>
  <si>
    <t>ภาษีมูลค่าเพิ่ม         7      %</t>
  </si>
  <si>
    <t>มีจำนวน   59    แผ่น</t>
  </si>
  <si>
    <t>มีจำนวน    1     แผ่น</t>
  </si>
  <si>
    <t>งานรื้อถอนโครงสร้าง คสล. และโครงสร้างเหล็กรูปพรรณ (รื้อเก็บ)</t>
  </si>
  <si>
    <r>
      <t>Support &amp; Accessories (รวม Hanger Support  และ สาย HDMI สำหรับ Monitor)  (ระบุรายละเอียดเพิ่ม)</t>
    </r>
    <r>
      <rPr>
        <sz val="16"/>
        <rFont val="TH Sarabun New"/>
        <family val="2"/>
      </rPr>
      <t xml:space="preserve"> ค่าบูรนาการระบบหลังการติดตั้งให้สามารถใช้งานกับระบบมหาลัยฯได้</t>
    </r>
  </si>
  <si>
    <t>ขนาดหรือเนื้อที่อาคาร  จำนวน</t>
  </si>
  <si>
    <t xml:space="preserve">แบบ ปร.4 (ก) ปร.4 (ข) ปร.5 (ก) ปร.5 (ข) </t>
  </si>
  <si>
    <t>มีจำนวน   62    แผ่น</t>
  </si>
  <si>
    <t>งานรื้อถอนระบบไฟฟ้า (สายไฟ,โคมไฟ,สวิตซ์ไฟ,รื้อระบบแอร์รื้อเก็บ)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</si>
</sst>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#,##0.00;[Red]#,##0.00"/>
    <numFmt numFmtId="167" formatCode="_(* #,##0.00_);_(* \(#,##0.00\);_(* \-??_);_(@_)"/>
    <numFmt numFmtId="168" formatCode="_(* #,##0.0000_);_(* \(#,##0.0000\);_(* &quot;-&quot;??_);_(@_)"/>
    <numFmt numFmtId="169" formatCode="_-* #,##0_-;\-* #,##0_-;_-* &quot;-&quot;??_-;_-@_-"/>
    <numFmt numFmtId="170" formatCode="0.0000000000"/>
    <numFmt numFmtId="171" formatCode="_-* #,##0.000000000_-;\-* #,##0.000000000_-;_-* &quot;-&quot;??_-;_-@_-"/>
    <numFmt numFmtId="172" formatCode="_(* #,##0.00_);_(* \(#,##0.00\);_(* &quot;-&quot;_);_(@_)"/>
    <numFmt numFmtId="173" formatCode="0.0000"/>
    <numFmt numFmtId="174" formatCode="#,##0.00&quot; $&quot;;[Red]\-#,##0.00&quot; $&quot;"/>
    <numFmt numFmtId="175" formatCode="#,##0.0"/>
    <numFmt numFmtId="176" formatCode="_(* #,##0_);_(* \(#,##0\);_(* &quot;-&quot;??_);_(@_)"/>
    <numFmt numFmtId="177" formatCode="_-* #,##0_-;\-* #,##0_-;_-* \-_-;_-@_-"/>
    <numFmt numFmtId="178" formatCode="d\ mmmm\ yyyy"/>
    <numFmt numFmtId="179" formatCode="d\ mmmm\ yyyy;@"/>
    <numFmt numFmtId="180" formatCode="_(* #,##0.0000_);_(* \(#,##0.0000\);_(* &quot;-&quot;????_);_(@_)"/>
    <numFmt numFmtId="181" formatCode="#,##0_ ;\-#,##0\ "/>
    <numFmt numFmtId="182" formatCode="[$-D00041E]#,##0.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ordia New"/>
      <family val="2"/>
    </font>
    <font>
      <sz val="16"/>
      <name val="AngsanaUPC"/>
      <family val="1"/>
    </font>
    <font>
      <sz val="11"/>
      <color indexed="8"/>
      <name val="Tahoma"/>
      <family val="2"/>
    </font>
    <font>
      <sz val="16"/>
      <color theme="1"/>
      <name val="AngsanaUPC"/>
      <family val="2"/>
    </font>
    <font>
      <sz val="10"/>
      <color indexed="8"/>
      <name val="Arial Unicode MS"/>
      <family val="2"/>
      <charset val="222"/>
    </font>
    <font>
      <sz val="14"/>
      <name val="AngsanaUPC"/>
      <family val="1"/>
      <charset val="222"/>
    </font>
    <font>
      <sz val="14"/>
      <name val="BrowalliaUPC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4"/>
      <name val="AngsanaUPC"/>
      <family val="1"/>
    </font>
    <font>
      <sz val="16"/>
      <name val="Cordia New"/>
      <family val="2"/>
    </font>
    <font>
      <b/>
      <sz val="16"/>
      <name val="Cordia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b/>
      <sz val="20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u val="doubleAccounting"/>
      <sz val="14"/>
      <color indexed="10"/>
      <name val="TH Sarabun New"/>
      <family val="2"/>
    </font>
    <font>
      <b/>
      <u/>
      <sz val="16"/>
      <name val="TH Sarabun New"/>
      <family val="2"/>
    </font>
    <font>
      <sz val="12"/>
      <name val="TH Sarabun New"/>
      <family val="2"/>
    </font>
    <font>
      <sz val="16"/>
      <name val="AngsanaUPC"/>
      <family val="1"/>
      <charset val="222"/>
    </font>
    <font>
      <sz val="14"/>
      <color indexed="8"/>
      <name val="TH Sarabun New"/>
      <family val="2"/>
    </font>
    <font>
      <b/>
      <sz val="14"/>
      <color indexed="8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4"/>
      <name val="Cordia New"/>
      <family val="2"/>
    </font>
    <font>
      <sz val="13"/>
      <name val="Cordia New"/>
      <family val="2"/>
    </font>
    <font>
      <b/>
      <u/>
      <sz val="14"/>
      <name val="TH Sarabun New"/>
      <family val="2"/>
    </font>
    <font>
      <sz val="14"/>
      <color indexed="10"/>
      <name val="TH Sarabun New"/>
      <family val="2"/>
    </font>
    <font>
      <sz val="11"/>
      <color indexed="8"/>
      <name val="Calibri"/>
      <family val="2"/>
    </font>
    <font>
      <u val="singleAccounting"/>
      <sz val="14"/>
      <name val="TH Sarabun New"/>
      <family val="2"/>
    </font>
    <font>
      <b/>
      <u/>
      <sz val="14"/>
      <color indexed="8"/>
      <name val="TH Sarabun New"/>
      <family val="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6"/>
      <color rgb="FFFF0000"/>
      <name val="TH Sarabun New"/>
      <family val="2"/>
    </font>
    <font>
      <sz val="12"/>
      <name val="Arial"/>
      <family val="2"/>
      <charset val="222"/>
    </font>
    <font>
      <sz val="12"/>
      <name val="CordiaUPC"/>
      <family val="2"/>
      <charset val="222"/>
    </font>
    <font>
      <sz val="14"/>
      <color indexed="8"/>
      <name val="TH SarabunPSK"/>
      <family val="2"/>
      <charset val="222"/>
    </font>
    <font>
      <sz val="16"/>
      <name val="Cordia New"/>
      <family val="2"/>
      <charset val="222"/>
    </font>
    <font>
      <b/>
      <u/>
      <sz val="16"/>
      <name val="TH Sarabun New"/>
      <family val="2"/>
      <charset val="222"/>
    </font>
    <font>
      <sz val="14"/>
      <name val="TH Sarabun New"/>
      <family val="2"/>
      <charset val="222"/>
    </font>
    <font>
      <u/>
      <sz val="11"/>
      <color theme="10"/>
      <name val="Calibri"/>
      <family val="2"/>
      <scheme val="minor"/>
    </font>
    <font>
      <sz val="16"/>
      <color rgb="FFFF0000"/>
      <name val="TH Sarabun New"/>
      <family val="2"/>
      <charset val="222"/>
    </font>
    <font>
      <sz val="11"/>
      <name val="Calibri"/>
      <family val="2"/>
      <charset val="222"/>
      <scheme val="minor"/>
    </font>
    <font>
      <sz val="14"/>
      <color rgb="FFFF0000"/>
      <name val="TH SarabunPSK"/>
      <family val="2"/>
      <charset val="222"/>
    </font>
    <font>
      <u/>
      <sz val="14"/>
      <color theme="10"/>
      <name val="TH SarabunPSK"/>
      <family val="2"/>
      <charset val="222"/>
    </font>
    <font>
      <b/>
      <sz val="16"/>
      <color indexed="8"/>
      <name val="TH SarabunPSK"/>
      <family val="2"/>
    </font>
    <font>
      <sz val="14"/>
      <name val="TH SarabunPSK"/>
      <family val="2"/>
      <charset val="22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b/>
      <sz val="16"/>
      <name val="Cordia New"/>
      <family val="2"/>
      <charset val="222"/>
    </font>
    <font>
      <u/>
      <sz val="16"/>
      <name val="TH Sarabun New"/>
      <family val="2"/>
    </font>
    <font>
      <sz val="14"/>
      <name val="Calibri"/>
      <family val="2"/>
    </font>
    <font>
      <sz val="11.2"/>
      <name val="TH Sarabun New"/>
      <family val="2"/>
    </font>
    <font>
      <sz val="14"/>
      <color theme="0"/>
      <name val="TH Sarabun New"/>
      <family val="2"/>
    </font>
    <font>
      <u val="singleAccounting"/>
      <sz val="16"/>
      <name val="TH Sarabun New"/>
      <family val="2"/>
    </font>
    <font>
      <sz val="15"/>
      <name val="CordiaUPC"/>
      <family val="2"/>
    </font>
    <font>
      <u/>
      <sz val="16"/>
      <name val="TH Sarabun New"/>
      <family val="2"/>
      <charset val="222"/>
    </font>
    <font>
      <sz val="16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u/>
      <sz val="11"/>
      <name val="Calibri"/>
      <family val="2"/>
      <scheme val="minor"/>
    </font>
    <font>
      <b/>
      <sz val="12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7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41" fontId="40" fillId="0" borderId="0"/>
    <xf numFmtId="0" fontId="12" fillId="0" borderId="0"/>
    <xf numFmtId="0" fontId="4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165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0" fillId="0" borderId="0"/>
    <xf numFmtId="0" fontId="2" fillId="0" borderId="0"/>
    <xf numFmtId="177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</cellStyleXfs>
  <cellXfs count="1521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166" fontId="13" fillId="2" borderId="0" xfId="0" applyNumberFormat="1" applyFont="1" applyFill="1" applyAlignment="1">
      <alignment vertical="center"/>
    </xf>
    <xf numFmtId="166" fontId="13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8" fillId="0" borderId="0" xfId="24" applyFont="1"/>
    <xf numFmtId="0" fontId="15" fillId="0" borderId="0" xfId="24" applyFont="1"/>
    <xf numFmtId="0" fontId="4" fillId="0" borderId="0" xfId="24" applyFont="1"/>
    <xf numFmtId="0" fontId="19" fillId="0" borderId="0" xfId="24" applyFont="1"/>
    <xf numFmtId="0" fontId="20" fillId="0" borderId="0" xfId="24" applyFont="1"/>
    <xf numFmtId="0" fontId="19" fillId="0" borderId="0" xfId="24" applyFont="1" applyAlignment="1">
      <alignment horizontal="center"/>
    </xf>
    <xf numFmtId="0" fontId="20" fillId="0" borderId="10" xfId="24" applyFont="1" applyBorder="1"/>
    <xf numFmtId="0" fontId="20" fillId="0" borderId="10" xfId="24" applyFont="1" applyBorder="1" applyAlignment="1">
      <alignment horizontal="center"/>
    </xf>
    <xf numFmtId="0" fontId="20" fillId="0" borderId="10" xfId="24" applyFont="1" applyBorder="1" applyAlignment="1">
      <alignment horizontal="right"/>
    </xf>
    <xf numFmtId="0" fontId="19" fillId="0" borderId="10" xfId="24" applyFont="1" applyBorder="1"/>
    <xf numFmtId="0" fontId="20" fillId="0" borderId="0" xfId="24" applyFont="1" applyAlignment="1">
      <alignment horizontal="center"/>
    </xf>
    <xf numFmtId="0" fontId="20" fillId="0" borderId="0" xfId="24" applyFont="1" applyAlignment="1">
      <alignment horizontal="right"/>
    </xf>
    <xf numFmtId="0" fontId="20" fillId="0" borderId="0" xfId="24" applyFont="1" applyAlignment="1">
      <alignment horizontal="left" vertical="center"/>
    </xf>
    <xf numFmtId="0" fontId="20" fillId="0" borderId="0" xfId="24" applyFont="1" applyAlignment="1">
      <alignment horizontal="center" vertical="center"/>
    </xf>
    <xf numFmtId="9" fontId="19" fillId="0" borderId="0" xfId="24" applyNumberFormat="1" applyFont="1" applyAlignment="1">
      <alignment horizontal="center"/>
    </xf>
    <xf numFmtId="43" fontId="19" fillId="0" borderId="0" xfId="24" applyNumberFormat="1" applyFont="1"/>
    <xf numFmtId="0" fontId="20" fillId="0" borderId="0" xfId="24" applyFont="1" applyAlignment="1">
      <alignment vertical="center"/>
    </xf>
    <xf numFmtId="0" fontId="20" fillId="0" borderId="0" xfId="24" applyFont="1" applyAlignment="1">
      <alignment horizontal="left"/>
    </xf>
    <xf numFmtId="168" fontId="20" fillId="0" borderId="0" xfId="24" applyNumberFormat="1" applyFont="1" applyAlignment="1">
      <alignment horizontal="left"/>
    </xf>
    <xf numFmtId="170" fontId="20" fillId="0" borderId="0" xfId="24" applyNumberFormat="1" applyFont="1"/>
    <xf numFmtId="171" fontId="19" fillId="0" borderId="0" xfId="24" applyNumberFormat="1" applyFont="1"/>
    <xf numFmtId="166" fontId="16" fillId="2" borderId="0" xfId="3" applyNumberFormat="1" applyFont="1" applyFill="1" applyAlignment="1">
      <alignment horizontal="right" vertical="center"/>
    </xf>
    <xf numFmtId="43" fontId="15" fillId="2" borderId="0" xfId="1" applyFont="1" applyFill="1" applyBorder="1" applyAlignment="1">
      <alignment horizontal="right" vertical="center"/>
    </xf>
    <xf numFmtId="43" fontId="16" fillId="2" borderId="0" xfId="1" applyFont="1" applyFill="1" applyBorder="1" applyAlignment="1">
      <alignment horizontal="right" vertical="center"/>
    </xf>
    <xf numFmtId="43" fontId="16" fillId="2" borderId="0" xfId="4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3" fontId="15" fillId="0" borderId="5" xfId="1" applyFont="1" applyFill="1" applyBorder="1"/>
    <xf numFmtId="0" fontId="15" fillId="0" borderId="0" xfId="0" applyFont="1" applyAlignment="1">
      <alignment horizontal="center" vertical="center"/>
    </xf>
    <xf numFmtId="3" fontId="15" fillId="0" borderId="0" xfId="1" applyNumberFormat="1" applyFont="1" applyAlignment="1">
      <alignment horizontal="center"/>
    </xf>
    <xf numFmtId="43" fontId="15" fillId="0" borderId="0" xfId="1" applyFont="1"/>
    <xf numFmtId="43" fontId="15" fillId="0" borderId="0" xfId="0" applyNumberFormat="1" applyFont="1"/>
    <xf numFmtId="0" fontId="16" fillId="0" borderId="0" xfId="0" applyFont="1" applyAlignment="1">
      <alignment horizontal="left" vertical="top"/>
    </xf>
    <xf numFmtId="43" fontId="15" fillId="2" borderId="17" xfId="1" applyFont="1" applyFill="1" applyBorder="1"/>
    <xf numFmtId="43" fontId="15" fillId="0" borderId="31" xfId="27" applyNumberFormat="1" applyFont="1" applyBorder="1"/>
    <xf numFmtId="43" fontId="15" fillId="0" borderId="5" xfId="1" applyFont="1" applyFill="1" applyBorder="1" applyAlignment="1">
      <alignment horizontal="center"/>
    </xf>
    <xf numFmtId="43" fontId="15" fillId="2" borderId="5" xfId="1" applyFont="1" applyFill="1" applyBorder="1"/>
    <xf numFmtId="0" fontId="15" fillId="0" borderId="11" xfId="0" applyFont="1" applyBorder="1" applyAlignment="1">
      <alignment horizontal="left"/>
    </xf>
    <xf numFmtId="43" fontId="15" fillId="2" borderId="34" xfId="1" applyFont="1" applyFill="1" applyBorder="1"/>
    <xf numFmtId="43" fontId="15" fillId="2" borderId="32" xfId="1" applyFont="1" applyFill="1" applyBorder="1"/>
    <xf numFmtId="43" fontId="15" fillId="0" borderId="34" xfId="1" applyFont="1" applyFill="1" applyBorder="1"/>
    <xf numFmtId="0" fontId="15" fillId="0" borderId="34" xfId="22" applyFont="1" applyBorder="1" applyAlignment="1">
      <alignment horizontal="left" vertical="center" wrapText="1"/>
    </xf>
    <xf numFmtId="43" fontId="15" fillId="0" borderId="34" xfId="1" applyFont="1" applyBorder="1"/>
    <xf numFmtId="0" fontId="20" fillId="0" borderId="0" xfId="27" applyFont="1"/>
    <xf numFmtId="0" fontId="20" fillId="0" borderId="0" xfId="27" applyFont="1" applyAlignment="1">
      <alignment horizontal="centerContinuous"/>
    </xf>
    <xf numFmtId="0" fontId="14" fillId="0" borderId="0" xfId="27" applyFont="1"/>
    <xf numFmtId="0" fontId="29" fillId="0" borderId="0" xfId="30"/>
    <xf numFmtId="0" fontId="20" fillId="7" borderId="7" xfId="27" applyFont="1" applyFill="1" applyBorder="1" applyAlignment="1">
      <alignment horizontal="center"/>
    </xf>
    <xf numFmtId="0" fontId="20" fillId="7" borderId="9" xfId="27" applyFont="1" applyFill="1" applyBorder="1" applyAlignment="1">
      <alignment horizontal="center"/>
    </xf>
    <xf numFmtId="0" fontId="20" fillId="7" borderId="28" xfId="27" applyFont="1" applyFill="1" applyBorder="1" applyAlignment="1">
      <alignment horizontal="center"/>
    </xf>
    <xf numFmtId="0" fontId="20" fillId="7" borderId="27" xfId="27" applyFont="1" applyFill="1" applyBorder="1" applyAlignment="1">
      <alignment horizontal="center"/>
    </xf>
    <xf numFmtId="0" fontId="19" fillId="0" borderId="0" xfId="27" applyFont="1"/>
    <xf numFmtId="0" fontId="30" fillId="0" borderId="0" xfId="27" applyFont="1"/>
    <xf numFmtId="0" fontId="19" fillId="7" borderId="6" xfId="27" applyFont="1" applyFill="1" applyBorder="1"/>
    <xf numFmtId="0" fontId="19" fillId="7" borderId="18" xfId="27" applyFont="1" applyFill="1" applyBorder="1"/>
    <xf numFmtId="0" fontId="20" fillId="7" borderId="27" xfId="27" applyFont="1" applyFill="1" applyBorder="1" applyAlignment="1">
      <alignment horizontal="center" vertical="center"/>
    </xf>
    <xf numFmtId="0" fontId="19" fillId="7" borderId="7" xfId="27" applyFont="1" applyFill="1" applyBorder="1" applyAlignment="1">
      <alignment horizontal="center"/>
    </xf>
    <xf numFmtId="0" fontId="19" fillId="7" borderId="9" xfId="27" applyFont="1" applyFill="1" applyBorder="1" applyAlignment="1">
      <alignment horizontal="center"/>
    </xf>
    <xf numFmtId="0" fontId="19" fillId="7" borderId="7" xfId="27" applyFont="1" applyFill="1" applyBorder="1" applyAlignment="1">
      <alignment horizontal="center" vertical="center"/>
    </xf>
    <xf numFmtId="0" fontId="19" fillId="7" borderId="8" xfId="27" applyFont="1" applyFill="1" applyBorder="1" applyAlignment="1">
      <alignment horizontal="center" vertical="center"/>
    </xf>
    <xf numFmtId="2" fontId="19" fillId="7" borderId="7" xfId="27" applyNumberFormat="1" applyFont="1" applyFill="1" applyBorder="1" applyAlignment="1">
      <alignment horizontal="center"/>
    </xf>
    <xf numFmtId="2" fontId="19" fillId="7" borderId="18" xfId="27" applyNumberFormat="1" applyFont="1" applyFill="1" applyBorder="1" applyAlignment="1">
      <alignment horizontal="center"/>
    </xf>
    <xf numFmtId="0" fontId="19" fillId="7" borderId="6" xfId="27" applyFont="1" applyFill="1" applyBorder="1" applyAlignment="1">
      <alignment horizontal="center"/>
    </xf>
    <xf numFmtId="0" fontId="19" fillId="7" borderId="40" xfId="27" applyFont="1" applyFill="1" applyBorder="1" applyAlignment="1">
      <alignment horizontal="center"/>
    </xf>
    <xf numFmtId="0" fontId="19" fillId="7" borderId="27" xfId="27" applyFont="1" applyFill="1" applyBorder="1" applyAlignment="1">
      <alignment horizontal="center"/>
    </xf>
    <xf numFmtId="0" fontId="19" fillId="7" borderId="18" xfId="27" applyFont="1" applyFill="1" applyBorder="1" applyAlignment="1">
      <alignment horizontal="center"/>
    </xf>
    <xf numFmtId="0" fontId="19" fillId="7" borderId="6" xfId="27" applyFont="1" applyFill="1" applyBorder="1" applyAlignment="1">
      <alignment horizontal="center" vertical="center"/>
    </xf>
    <xf numFmtId="0" fontId="19" fillId="7" borderId="18" xfId="27" applyFont="1" applyFill="1" applyBorder="1" applyAlignment="1">
      <alignment horizontal="center" vertical="center"/>
    </xf>
    <xf numFmtId="0" fontId="19" fillId="7" borderId="28" xfId="27" applyFont="1" applyFill="1" applyBorder="1" applyAlignment="1">
      <alignment horizontal="center"/>
    </xf>
    <xf numFmtId="0" fontId="19" fillId="7" borderId="7" xfId="27" applyFont="1" applyFill="1" applyBorder="1"/>
    <xf numFmtId="0" fontId="19" fillId="7" borderId="0" xfId="27" applyFont="1" applyFill="1" applyAlignment="1">
      <alignment horizontal="center"/>
    </xf>
    <xf numFmtId="0" fontId="19" fillId="7" borderId="2" xfId="27" applyFont="1" applyFill="1" applyBorder="1"/>
    <xf numFmtId="0" fontId="19" fillId="7" borderId="41" xfId="27" applyFont="1" applyFill="1" applyBorder="1"/>
    <xf numFmtId="0" fontId="19" fillId="7" borderId="2" xfId="27" applyFont="1" applyFill="1" applyBorder="1" applyAlignment="1">
      <alignment horizontal="center"/>
    </xf>
    <xf numFmtId="0" fontId="19" fillId="7" borderId="41" xfId="27" applyFont="1" applyFill="1" applyBorder="1" applyAlignment="1">
      <alignment horizontal="center"/>
    </xf>
    <xf numFmtId="0" fontId="19" fillId="7" borderId="10" xfId="27" applyFont="1" applyFill="1" applyBorder="1" applyAlignment="1">
      <alignment horizontal="center"/>
    </xf>
    <xf numFmtId="0" fontId="20" fillId="0" borderId="34" xfId="27" applyFont="1" applyBorder="1"/>
    <xf numFmtId="43" fontId="20" fillId="0" borderId="42" xfId="27" applyNumberFormat="1" applyFont="1" applyBorder="1"/>
    <xf numFmtId="43" fontId="20" fillId="0" borderId="43" xfId="27" applyNumberFormat="1" applyFont="1" applyBorder="1"/>
    <xf numFmtId="0" fontId="20" fillId="0" borderId="43" xfId="27" applyFont="1" applyBorder="1"/>
    <xf numFmtId="0" fontId="20" fillId="0" borderId="44" xfId="27" applyFont="1" applyBorder="1"/>
    <xf numFmtId="0" fontId="20" fillId="0" borderId="45" xfId="27" applyFont="1" applyBorder="1"/>
    <xf numFmtId="0" fontId="20" fillId="0" borderId="46" xfId="27" applyFont="1" applyBorder="1"/>
    <xf numFmtId="43" fontId="20" fillId="0" borderId="47" xfId="27" applyNumberFormat="1" applyFont="1" applyBorder="1"/>
    <xf numFmtId="43" fontId="20" fillId="0" borderId="45" xfId="27" applyNumberFormat="1" applyFont="1" applyBorder="1"/>
    <xf numFmtId="0" fontId="20" fillId="0" borderId="47" xfId="27" applyFont="1" applyBorder="1"/>
    <xf numFmtId="0" fontId="20" fillId="0" borderId="48" xfId="27" applyFont="1" applyBorder="1"/>
    <xf numFmtId="0" fontId="20" fillId="0" borderId="49" xfId="27" applyFont="1" applyBorder="1"/>
    <xf numFmtId="0" fontId="20" fillId="0" borderId="13" xfId="27" applyFont="1" applyBorder="1"/>
    <xf numFmtId="43" fontId="20" fillId="0" borderId="0" xfId="27" applyNumberFormat="1" applyFont="1"/>
    <xf numFmtId="0" fontId="19" fillId="0" borderId="5" xfId="27" applyFont="1" applyBorder="1"/>
    <xf numFmtId="0" fontId="31" fillId="7" borderId="50" xfId="27" applyFont="1" applyFill="1" applyBorder="1"/>
    <xf numFmtId="43" fontId="19" fillId="7" borderId="48" xfId="27" applyNumberFormat="1" applyFont="1" applyFill="1" applyBorder="1"/>
    <xf numFmtId="0" fontId="19" fillId="7" borderId="48" xfId="27" applyFont="1" applyFill="1" applyBorder="1"/>
    <xf numFmtId="0" fontId="19" fillId="7" borderId="49" xfId="27" applyFont="1" applyFill="1" applyBorder="1"/>
    <xf numFmtId="0" fontId="19" fillId="7" borderId="51" xfId="27" applyFont="1" applyFill="1" applyBorder="1"/>
    <xf numFmtId="0" fontId="19" fillId="7" borderId="13" xfId="27" applyFont="1" applyFill="1" applyBorder="1"/>
    <xf numFmtId="43" fontId="19" fillId="7" borderId="31" xfId="27" applyNumberFormat="1" applyFont="1" applyFill="1" applyBorder="1"/>
    <xf numFmtId="43" fontId="19" fillId="7" borderId="51" xfId="27" applyNumberFormat="1" applyFont="1" applyFill="1" applyBorder="1"/>
    <xf numFmtId="43" fontId="19" fillId="7" borderId="31" xfId="27" applyNumberFormat="1" applyFont="1" applyFill="1" applyBorder="1" applyAlignment="1">
      <alignment horizontal="center"/>
    </xf>
    <xf numFmtId="43" fontId="19" fillId="7" borderId="48" xfId="27" applyNumberFormat="1" applyFont="1" applyFill="1" applyBorder="1" applyAlignment="1">
      <alignment horizontal="center"/>
    </xf>
    <xf numFmtId="43" fontId="19" fillId="7" borderId="51" xfId="27" applyNumberFormat="1" applyFont="1" applyFill="1" applyBorder="1" applyAlignment="1">
      <alignment horizontal="center"/>
    </xf>
    <xf numFmtId="0" fontId="19" fillId="7" borderId="31" xfId="27" applyFont="1" applyFill="1" applyBorder="1"/>
    <xf numFmtId="0" fontId="19" fillId="7" borderId="34" xfId="27" applyFont="1" applyFill="1" applyBorder="1"/>
    <xf numFmtId="0" fontId="19" fillId="0" borderId="0" xfId="27" applyFont="1" applyAlignment="1">
      <alignment horizontal="center"/>
    </xf>
    <xf numFmtId="43" fontId="19" fillId="0" borderId="0" xfId="27" applyNumberFormat="1" applyFont="1"/>
    <xf numFmtId="43" fontId="19" fillId="0" borderId="0" xfId="27" applyNumberFormat="1" applyFont="1" applyAlignment="1">
      <alignment horizontal="center"/>
    </xf>
    <xf numFmtId="0" fontId="19" fillId="0" borderId="31" xfId="27" applyFont="1" applyBorder="1"/>
    <xf numFmtId="43" fontId="19" fillId="0" borderId="48" xfId="27" applyNumberFormat="1" applyFont="1" applyBorder="1"/>
    <xf numFmtId="0" fontId="19" fillId="0" borderId="48" xfId="27" applyFont="1" applyBorder="1"/>
    <xf numFmtId="0" fontId="19" fillId="0" borderId="49" xfId="27" applyFont="1" applyBorder="1"/>
    <xf numFmtId="0" fontId="19" fillId="0" borderId="51" xfId="27" applyFont="1" applyBorder="1"/>
    <xf numFmtId="0" fontId="19" fillId="0" borderId="13" xfId="27" applyFont="1" applyBorder="1"/>
    <xf numFmtId="43" fontId="19" fillId="0" borderId="31" xfId="27" applyNumberFormat="1" applyFont="1" applyBorder="1"/>
    <xf numFmtId="43" fontId="19" fillId="0" borderId="51" xfId="27" applyNumberFormat="1" applyFont="1" applyBorder="1"/>
    <xf numFmtId="43" fontId="19" fillId="0" borderId="31" xfId="27" applyNumberFormat="1" applyFont="1" applyBorder="1" applyAlignment="1">
      <alignment horizontal="center"/>
    </xf>
    <xf numFmtId="43" fontId="19" fillId="0" borderId="48" xfId="27" applyNumberFormat="1" applyFont="1" applyBorder="1" applyAlignment="1">
      <alignment horizontal="center"/>
    </xf>
    <xf numFmtId="43" fontId="19" fillId="0" borderId="51" xfId="27" applyNumberFormat="1" applyFont="1" applyBorder="1" applyAlignment="1">
      <alignment horizontal="center"/>
    </xf>
    <xf numFmtId="0" fontId="19" fillId="0" borderId="34" xfId="27" applyFont="1" applyBorder="1"/>
    <xf numFmtId="43" fontId="19" fillId="0" borderId="13" xfId="27" applyNumberFormat="1" applyFont="1" applyBorder="1"/>
    <xf numFmtId="43" fontId="19" fillId="0" borderId="34" xfId="27" applyNumberFormat="1" applyFont="1" applyBorder="1"/>
    <xf numFmtId="43" fontId="19" fillId="0" borderId="49" xfId="27" applyNumberFormat="1" applyFont="1" applyBorder="1"/>
    <xf numFmtId="43" fontId="30" fillId="0" borderId="0" xfId="27" applyNumberFormat="1" applyFont="1"/>
    <xf numFmtId="43" fontId="32" fillId="0" borderId="31" xfId="27" applyNumberFormat="1" applyFont="1" applyBorder="1"/>
    <xf numFmtId="43" fontId="32" fillId="0" borderId="48" xfId="27" applyNumberFormat="1" applyFont="1" applyBorder="1"/>
    <xf numFmtId="43" fontId="19" fillId="0" borderId="48" xfId="31" applyFont="1" applyBorder="1" applyAlignment="1">
      <alignment horizontal="center"/>
    </xf>
    <xf numFmtId="2" fontId="19" fillId="0" borderId="31" xfId="27" applyNumberFormat="1" applyFont="1" applyBorder="1"/>
    <xf numFmtId="2" fontId="19" fillId="0" borderId="48" xfId="27" applyNumberFormat="1" applyFont="1" applyBorder="1"/>
    <xf numFmtId="2" fontId="19" fillId="0" borderId="49" xfId="27" applyNumberFormat="1" applyFont="1" applyBorder="1"/>
    <xf numFmtId="2" fontId="19" fillId="0" borderId="13" xfId="27" applyNumberFormat="1" applyFont="1" applyBorder="1"/>
    <xf numFmtId="2" fontId="19" fillId="0" borderId="34" xfId="27" applyNumberFormat="1" applyFont="1" applyBorder="1"/>
    <xf numFmtId="43" fontId="34" fillId="7" borderId="31" xfId="27" applyNumberFormat="1" applyFont="1" applyFill="1" applyBorder="1" applyAlignment="1">
      <alignment horizontal="right"/>
    </xf>
    <xf numFmtId="43" fontId="34" fillId="7" borderId="48" xfId="27" applyNumberFormat="1" applyFont="1" applyFill="1" applyBorder="1"/>
    <xf numFmtId="43" fontId="34" fillId="0" borderId="31" xfId="27" applyNumberFormat="1" applyFont="1" applyBorder="1" applyAlignment="1">
      <alignment horizontal="right"/>
    </xf>
    <xf numFmtId="43" fontId="34" fillId="0" borderId="48" xfId="27" applyNumberFormat="1" applyFont="1" applyBorder="1"/>
    <xf numFmtId="43" fontId="34" fillId="0" borderId="49" xfId="27" applyNumberFormat="1" applyFont="1" applyBorder="1"/>
    <xf numFmtId="43" fontId="34" fillId="0" borderId="51" xfId="27" applyNumberFormat="1" applyFont="1" applyBorder="1"/>
    <xf numFmtId="43" fontId="34" fillId="0" borderId="13" xfId="27" applyNumberFormat="1" applyFont="1" applyBorder="1"/>
    <xf numFmtId="43" fontId="34" fillId="0" borderId="31" xfId="27" applyNumberFormat="1" applyFont="1" applyBorder="1"/>
    <xf numFmtId="2" fontId="34" fillId="0" borderId="31" xfId="27" applyNumberFormat="1" applyFont="1" applyBorder="1"/>
    <xf numFmtId="2" fontId="34" fillId="0" borderId="48" xfId="27" applyNumberFormat="1" applyFont="1" applyBorder="1"/>
    <xf numFmtId="2" fontId="34" fillId="0" borderId="49" xfId="27" applyNumberFormat="1" applyFont="1" applyBorder="1"/>
    <xf numFmtId="2" fontId="34" fillId="0" borderId="13" xfId="27" applyNumberFormat="1" applyFont="1" applyBorder="1"/>
    <xf numFmtId="2" fontId="34" fillId="0" borderId="34" xfId="27" applyNumberFormat="1" applyFont="1" applyBorder="1"/>
    <xf numFmtId="0" fontId="31" fillId="7" borderId="31" xfId="27" applyFont="1" applyFill="1" applyBorder="1"/>
    <xf numFmtId="43" fontId="19" fillId="7" borderId="49" xfId="27" applyNumberFormat="1" applyFont="1" applyFill="1" applyBorder="1"/>
    <xf numFmtId="2" fontId="19" fillId="7" borderId="31" xfId="27" applyNumberFormat="1" applyFont="1" applyFill="1" applyBorder="1"/>
    <xf numFmtId="2" fontId="19" fillId="7" borderId="48" xfId="27" applyNumberFormat="1" applyFont="1" applyFill="1" applyBorder="1"/>
    <xf numFmtId="2" fontId="19" fillId="7" borderId="49" xfId="27" applyNumberFormat="1" applyFont="1" applyFill="1" applyBorder="1"/>
    <xf numFmtId="2" fontId="19" fillId="7" borderId="13" xfId="27" applyNumberFormat="1" applyFont="1" applyFill="1" applyBorder="1"/>
    <xf numFmtId="2" fontId="19" fillId="7" borderId="34" xfId="27" applyNumberFormat="1" applyFont="1" applyFill="1" applyBorder="1"/>
    <xf numFmtId="0" fontId="32" fillId="0" borderId="34" xfId="27" applyFont="1" applyBorder="1"/>
    <xf numFmtId="43" fontId="19" fillId="0" borderId="52" xfId="27" applyNumberFormat="1" applyFont="1" applyBorder="1"/>
    <xf numFmtId="0" fontId="19" fillId="0" borderId="15" xfId="27" applyFont="1" applyBorder="1"/>
    <xf numFmtId="43" fontId="34" fillId="0" borderId="52" xfId="27" applyNumberFormat="1" applyFont="1" applyBorder="1"/>
    <xf numFmtId="43" fontId="19" fillId="0" borderId="53" xfId="27" applyNumberFormat="1" applyFont="1" applyBorder="1"/>
    <xf numFmtId="0" fontId="19" fillId="0" borderId="53" xfId="27" applyFont="1" applyBorder="1"/>
    <xf numFmtId="0" fontId="19" fillId="0" borderId="54" xfId="27" applyFont="1" applyBorder="1"/>
    <xf numFmtId="0" fontId="19" fillId="0" borderId="55" xfId="27" applyFont="1" applyBorder="1"/>
    <xf numFmtId="0" fontId="19" fillId="0" borderId="33" xfId="27" applyFont="1" applyBorder="1"/>
    <xf numFmtId="43" fontId="19" fillId="0" borderId="55" xfId="27" applyNumberFormat="1" applyFont="1" applyBorder="1"/>
    <xf numFmtId="43" fontId="19" fillId="0" borderId="54" xfId="27" applyNumberFormat="1" applyFont="1" applyBorder="1"/>
    <xf numFmtId="2" fontId="19" fillId="0" borderId="52" xfId="27" applyNumberFormat="1" applyFont="1" applyBorder="1"/>
    <xf numFmtId="2" fontId="19" fillId="0" borderId="53" xfId="27" applyNumberFormat="1" applyFont="1" applyBorder="1"/>
    <xf numFmtId="2" fontId="19" fillId="0" borderId="54" xfId="27" applyNumberFormat="1" applyFont="1" applyBorder="1"/>
    <xf numFmtId="2" fontId="19" fillId="0" borderId="33" xfId="27" applyNumberFormat="1" applyFont="1" applyBorder="1"/>
    <xf numFmtId="2" fontId="19" fillId="0" borderId="15" xfId="27" applyNumberFormat="1" applyFont="1" applyBorder="1"/>
    <xf numFmtId="43" fontId="19" fillId="7" borderId="53" xfId="27" applyNumberFormat="1" applyFont="1" applyFill="1" applyBorder="1"/>
    <xf numFmtId="0" fontId="19" fillId="7" borderId="53" xfId="27" applyFont="1" applyFill="1" applyBorder="1"/>
    <xf numFmtId="0" fontId="19" fillId="7" borderId="54" xfId="27" applyFont="1" applyFill="1" applyBorder="1"/>
    <xf numFmtId="0" fontId="19" fillId="7" borderId="55" xfId="27" applyFont="1" applyFill="1" applyBorder="1"/>
    <xf numFmtId="0" fontId="19" fillId="7" borderId="33" xfId="27" applyFont="1" applyFill="1" applyBorder="1"/>
    <xf numFmtId="43" fontId="19" fillId="7" borderId="52" xfId="27" applyNumberFormat="1" applyFont="1" applyFill="1" applyBorder="1"/>
    <xf numFmtId="43" fontId="19" fillId="7" borderId="55" xfId="27" applyNumberFormat="1" applyFont="1" applyFill="1" applyBorder="1"/>
    <xf numFmtId="2" fontId="19" fillId="7" borderId="52" xfId="27" applyNumberFormat="1" applyFont="1" applyFill="1" applyBorder="1"/>
    <xf numFmtId="2" fontId="19" fillId="7" borderId="53" xfId="27" applyNumberFormat="1" applyFont="1" applyFill="1" applyBorder="1"/>
    <xf numFmtId="2" fontId="19" fillId="7" borderId="54" xfId="27" applyNumberFormat="1" applyFont="1" applyFill="1" applyBorder="1"/>
    <xf numFmtId="2" fontId="19" fillId="7" borderId="33" xfId="27" applyNumberFormat="1" applyFont="1" applyFill="1" applyBorder="1"/>
    <xf numFmtId="2" fontId="19" fillId="7" borderId="15" xfId="27" applyNumberFormat="1" applyFont="1" applyFill="1" applyBorder="1"/>
    <xf numFmtId="0" fontId="31" fillId="0" borderId="52" xfId="27" applyFont="1" applyBorder="1"/>
    <xf numFmtId="0" fontId="19" fillId="0" borderId="52" xfId="27" applyFont="1" applyBorder="1"/>
    <xf numFmtId="0" fontId="19" fillId="0" borderId="6" xfId="27" applyFont="1" applyBorder="1"/>
    <xf numFmtId="43" fontId="19" fillId="0" borderId="56" xfId="27" applyNumberFormat="1" applyFont="1" applyBorder="1"/>
    <xf numFmtId="43" fontId="19" fillId="0" borderId="57" xfId="27" applyNumberFormat="1" applyFont="1" applyBorder="1"/>
    <xf numFmtId="0" fontId="19" fillId="0" borderId="57" xfId="27" applyFont="1" applyBorder="1"/>
    <xf numFmtId="0" fontId="19" fillId="0" borderId="58" xfId="27" applyFont="1" applyBorder="1"/>
    <xf numFmtId="0" fontId="19" fillId="0" borderId="59" xfId="27" applyFont="1" applyBorder="1"/>
    <xf numFmtId="43" fontId="19" fillId="0" borderId="59" xfId="27" applyNumberFormat="1" applyFont="1" applyBorder="1"/>
    <xf numFmtId="2" fontId="19" fillId="0" borderId="56" xfId="27" applyNumberFormat="1" applyFont="1" applyBorder="1"/>
    <xf numFmtId="2" fontId="19" fillId="0" borderId="57" xfId="27" applyNumberFormat="1" applyFont="1" applyBorder="1"/>
    <xf numFmtId="2" fontId="19" fillId="0" borderId="58" xfId="27" applyNumberFormat="1" applyFont="1" applyBorder="1"/>
    <xf numFmtId="2" fontId="19" fillId="0" borderId="0" xfId="27" applyNumberFormat="1" applyFont="1"/>
    <xf numFmtId="2" fontId="19" fillId="0" borderId="6" xfId="27" applyNumberFormat="1" applyFont="1" applyBorder="1"/>
    <xf numFmtId="0" fontId="19" fillId="0" borderId="22" xfId="27" applyFont="1" applyBorder="1"/>
    <xf numFmtId="43" fontId="20" fillId="7" borderId="60" xfId="27" applyNumberFormat="1" applyFont="1" applyFill="1" applyBorder="1" applyAlignment="1">
      <alignment horizontal="centerContinuous"/>
    </xf>
    <xf numFmtId="43" fontId="34" fillId="7" borderId="61" xfId="27" applyNumberFormat="1" applyFont="1" applyFill="1" applyBorder="1"/>
    <xf numFmtId="43" fontId="32" fillId="0" borderId="0" xfId="27" applyNumberFormat="1" applyFont="1"/>
    <xf numFmtId="0" fontId="25" fillId="0" borderId="0" xfId="30" applyFont="1"/>
    <xf numFmtId="0" fontId="19" fillId="0" borderId="0" xfId="30" applyFont="1"/>
    <xf numFmtId="0" fontId="19" fillId="0" borderId="13" xfId="30" applyFont="1" applyBorder="1" applyAlignment="1">
      <alignment horizontal="left"/>
    </xf>
    <xf numFmtId="43" fontId="19" fillId="3" borderId="5" xfId="31" applyFont="1" applyFill="1" applyBorder="1"/>
    <xf numFmtId="43" fontId="19" fillId="0" borderId="0" xfId="30" applyNumberFormat="1" applyFont="1"/>
    <xf numFmtId="43" fontId="25" fillId="0" borderId="0" xfId="30" applyNumberFormat="1" applyFont="1"/>
    <xf numFmtId="2" fontId="25" fillId="0" borderId="5" xfId="30" applyNumberFormat="1" applyFont="1" applyBorder="1" applyAlignment="1">
      <alignment horizontal="center"/>
    </xf>
    <xf numFmtId="43" fontId="15" fillId="0" borderId="34" xfId="23" applyFont="1" applyFill="1" applyBorder="1" applyAlignment="1">
      <alignment horizontal="right" vertical="center"/>
    </xf>
    <xf numFmtId="43" fontId="19" fillId="0" borderId="0" xfId="1" applyFont="1"/>
    <xf numFmtId="43" fontId="19" fillId="2" borderId="48" xfId="1" applyFont="1" applyFill="1" applyBorder="1"/>
    <xf numFmtId="43" fontId="15" fillId="0" borderId="34" xfId="27" applyNumberFormat="1" applyFont="1" applyBorder="1"/>
    <xf numFmtId="43" fontId="15" fillId="0" borderId="34" xfId="1" applyFont="1" applyBorder="1" applyAlignment="1">
      <alignment vertical="center"/>
    </xf>
    <xf numFmtId="0" fontId="4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vertical="top"/>
    </xf>
    <xf numFmtId="165" fontId="15" fillId="0" borderId="7" xfId="42" applyFont="1" applyBorder="1" applyAlignment="1">
      <alignment horizontal="center" vertical="center"/>
    </xf>
    <xf numFmtId="165" fontId="15" fillId="0" borderId="27" xfId="42" applyFont="1" applyBorder="1" applyAlignment="1">
      <alignment horizontal="center" vertical="center"/>
    </xf>
    <xf numFmtId="165" fontId="15" fillId="0" borderId="0" xfId="42" applyFont="1" applyAlignment="1">
      <alignment horizontal="center" vertical="center"/>
    </xf>
    <xf numFmtId="165" fontId="15" fillId="0" borderId="2" xfId="42" applyFont="1" applyBorder="1" applyAlignment="1">
      <alignment horizontal="center" vertical="center"/>
    </xf>
    <xf numFmtId="165" fontId="15" fillId="8" borderId="27" xfId="42" applyFont="1" applyFill="1" applyBorder="1" applyAlignment="1">
      <alignment horizontal="center" vertical="center"/>
    </xf>
    <xf numFmtId="165" fontId="46" fillId="8" borderId="27" xfId="42" applyFont="1" applyFill="1" applyBorder="1" applyAlignment="1">
      <alignment horizontal="center" vertical="center"/>
    </xf>
    <xf numFmtId="165" fontId="38" fillId="8" borderId="27" xfId="42" applyFont="1" applyFill="1" applyBorder="1" applyAlignment="1">
      <alignment horizontal="center" vertical="center"/>
    </xf>
    <xf numFmtId="165" fontId="15" fillId="0" borderId="5" xfId="42" applyFont="1" applyBorder="1" applyAlignment="1">
      <alignment horizontal="left" vertical="top" wrapText="1"/>
    </xf>
    <xf numFmtId="43" fontId="15" fillId="0" borderId="62" xfId="40" applyFont="1" applyBorder="1" applyAlignment="1">
      <alignment horizontal="left" vertical="top"/>
    </xf>
    <xf numFmtId="165" fontId="15" fillId="0" borderId="51" xfId="42" applyFont="1" applyBorder="1" applyAlignment="1">
      <alignment horizontal="left" vertical="top" wrapText="1"/>
    </xf>
    <xf numFmtId="165" fontId="15" fillId="0" borderId="16" xfId="42" applyFont="1" applyBorder="1" applyAlignment="1">
      <alignment horizontal="left" vertical="top"/>
    </xf>
    <xf numFmtId="43" fontId="15" fillId="0" borderId="34" xfId="15" applyFont="1" applyBorder="1" applyAlignment="1">
      <alignment vertical="top" wrapText="1"/>
    </xf>
    <xf numFmtId="49" fontId="15" fillId="0" borderId="50" xfId="42" applyNumberFormat="1" applyFont="1" applyBorder="1" applyAlignment="1">
      <alignment horizontal="center" vertical="top"/>
    </xf>
    <xf numFmtId="165" fontId="15" fillId="0" borderId="66" xfId="42" applyFont="1" applyBorder="1" applyAlignment="1">
      <alignment horizontal="left" vertical="top"/>
    </xf>
    <xf numFmtId="165" fontId="15" fillId="0" borderId="34" xfId="42" applyFont="1" applyBorder="1" applyAlignment="1">
      <alignment horizontal="left" vertical="top"/>
    </xf>
    <xf numFmtId="165" fontId="15" fillId="0" borderId="17" xfId="42" applyFont="1" applyBorder="1" applyAlignment="1">
      <alignment horizontal="left" vertical="top"/>
    </xf>
    <xf numFmtId="165" fontId="15" fillId="0" borderId="62" xfId="42" applyFont="1" applyBorder="1" applyAlignment="1">
      <alignment horizontal="left" vertical="top"/>
    </xf>
    <xf numFmtId="165" fontId="15" fillId="9" borderId="64" xfId="42" applyFont="1" applyFill="1" applyBorder="1" applyAlignment="1">
      <alignment horizontal="left" vertical="top"/>
    </xf>
    <xf numFmtId="165" fontId="15" fillId="0" borderId="63" xfId="42" applyFont="1" applyFill="1" applyBorder="1" applyAlignment="1">
      <alignment horizontal="left" vertical="top"/>
    </xf>
    <xf numFmtId="165" fontId="15" fillId="0" borderId="63" xfId="42" applyFont="1" applyBorder="1" applyAlignment="1">
      <alignment horizontal="left" vertical="top"/>
    </xf>
    <xf numFmtId="165" fontId="15" fillId="8" borderId="63" xfId="42" applyFont="1" applyFill="1" applyBorder="1" applyAlignment="1">
      <alignment horizontal="left" vertical="top"/>
    </xf>
    <xf numFmtId="165" fontId="15" fillId="8" borderId="66" xfId="42" applyFont="1" applyFill="1" applyBorder="1" applyAlignment="1">
      <alignment horizontal="left" vertical="top"/>
    </xf>
    <xf numFmtId="165" fontId="15" fillId="10" borderId="62" xfId="42" applyFont="1" applyFill="1" applyBorder="1" applyAlignment="1">
      <alignment horizontal="left" vertical="top"/>
    </xf>
    <xf numFmtId="165" fontId="15" fillId="0" borderId="62" xfId="42" applyFont="1" applyFill="1" applyBorder="1" applyAlignment="1">
      <alignment horizontal="left" vertical="top"/>
    </xf>
    <xf numFmtId="165" fontId="15" fillId="10" borderId="64" xfId="42" applyFont="1" applyFill="1" applyBorder="1" applyAlignment="1">
      <alignment horizontal="left" vertical="top"/>
    </xf>
    <xf numFmtId="165" fontId="46" fillId="8" borderId="63" xfId="42" applyFont="1" applyFill="1" applyBorder="1" applyAlignment="1">
      <alignment horizontal="left" vertical="top"/>
    </xf>
    <xf numFmtId="165" fontId="38" fillId="8" borderId="63" xfId="42" applyFont="1" applyFill="1" applyBorder="1" applyAlignment="1">
      <alignment horizontal="left" vertical="top"/>
    </xf>
    <xf numFmtId="165" fontId="38" fillId="8" borderId="66" xfId="42" applyFont="1" applyFill="1" applyBorder="1" applyAlignment="1">
      <alignment horizontal="left" vertical="top"/>
    </xf>
    <xf numFmtId="165" fontId="15" fillId="8" borderId="64" xfId="42" applyFont="1" applyFill="1" applyBorder="1" applyAlignment="1">
      <alignment horizontal="left" vertical="top"/>
    </xf>
    <xf numFmtId="165" fontId="15" fillId="8" borderId="62" xfId="42" applyFont="1" applyFill="1" applyBorder="1" applyAlignment="1">
      <alignment horizontal="left" vertical="top"/>
    </xf>
    <xf numFmtId="165" fontId="15" fillId="11" borderId="34" xfId="42" applyFont="1" applyFill="1" applyBorder="1" applyAlignment="1">
      <alignment horizontal="left" vertical="top"/>
    </xf>
    <xf numFmtId="165" fontId="15" fillId="0" borderId="50" xfId="42" applyFont="1" applyBorder="1" applyAlignment="1">
      <alignment horizontal="left" vertical="top"/>
    </xf>
    <xf numFmtId="165" fontId="15" fillId="0" borderId="51" xfId="42" applyFont="1" applyBorder="1" applyAlignment="1">
      <alignment horizontal="left" vertical="top"/>
    </xf>
    <xf numFmtId="165" fontId="15" fillId="0" borderId="0" xfId="42" applyFont="1" applyAlignment="1">
      <alignment horizontal="left" vertical="top"/>
    </xf>
    <xf numFmtId="165" fontId="38" fillId="0" borderId="62" xfId="42" applyFont="1" applyFill="1" applyBorder="1" applyAlignment="1">
      <alignment horizontal="left" vertical="top"/>
    </xf>
    <xf numFmtId="165" fontId="38" fillId="0" borderId="64" xfId="42" applyFont="1" applyFill="1" applyBorder="1" applyAlignment="1">
      <alignment horizontal="left" vertical="top"/>
    </xf>
    <xf numFmtId="165" fontId="38" fillId="0" borderId="63" xfId="42" applyFont="1" applyBorder="1" applyAlignment="1">
      <alignment horizontal="left" vertical="top"/>
    </xf>
    <xf numFmtId="165" fontId="15" fillId="0" borderId="32" xfId="42" applyFont="1" applyBorder="1" applyAlignment="1">
      <alignment horizontal="left" vertical="top"/>
    </xf>
    <xf numFmtId="165" fontId="38" fillId="0" borderId="62" xfId="42" applyFont="1" applyBorder="1" applyAlignment="1">
      <alignment horizontal="left" vertical="top"/>
    </xf>
    <xf numFmtId="165" fontId="38" fillId="10" borderId="64" xfId="42" applyFont="1" applyFill="1" applyBorder="1" applyAlignment="1">
      <alignment horizontal="left" vertical="top"/>
    </xf>
    <xf numFmtId="165" fontId="38" fillId="0" borderId="64" xfId="42" applyFont="1" applyBorder="1" applyAlignment="1">
      <alignment horizontal="left" vertical="top"/>
    </xf>
    <xf numFmtId="165" fontId="38" fillId="0" borderId="63" xfId="42" applyFont="1" applyFill="1" applyBorder="1" applyAlignment="1">
      <alignment horizontal="left" vertical="top"/>
    </xf>
    <xf numFmtId="165" fontId="38" fillId="8" borderId="62" xfId="42" applyFont="1" applyFill="1" applyBorder="1" applyAlignment="1">
      <alignment horizontal="left" vertical="top"/>
    </xf>
    <xf numFmtId="165" fontId="38" fillId="0" borderId="66" xfId="42" applyFont="1" applyBorder="1" applyAlignment="1">
      <alignment horizontal="left" vertical="top"/>
    </xf>
    <xf numFmtId="165" fontId="15" fillId="10" borderId="63" xfId="42" applyFont="1" applyFill="1" applyBorder="1" applyAlignment="1">
      <alignment horizontal="left" vertical="top"/>
    </xf>
    <xf numFmtId="165" fontId="38" fillId="10" borderId="62" xfId="42" applyFont="1" applyFill="1" applyBorder="1" applyAlignment="1">
      <alignment horizontal="left" vertical="top"/>
    </xf>
    <xf numFmtId="0" fontId="41" fillId="0" borderId="0" xfId="36" applyAlignment="1">
      <alignment vertical="top"/>
    </xf>
    <xf numFmtId="165" fontId="37" fillId="10" borderId="62" xfId="42" applyFont="1" applyFill="1" applyBorder="1" applyAlignment="1">
      <alignment horizontal="left" vertical="top"/>
    </xf>
    <xf numFmtId="165" fontId="37" fillId="0" borderId="63" xfId="42" applyFont="1" applyBorder="1" applyAlignment="1">
      <alignment horizontal="left" vertical="top"/>
    </xf>
    <xf numFmtId="165" fontId="37" fillId="0" borderId="66" xfId="42" applyFont="1" applyBorder="1" applyAlignment="1">
      <alignment horizontal="left" vertical="top"/>
    </xf>
    <xf numFmtId="165" fontId="45" fillId="0" borderId="16" xfId="43" applyNumberFormat="1" applyBorder="1" applyAlignment="1">
      <alignment horizontal="left" vertical="top"/>
    </xf>
    <xf numFmtId="165" fontId="15" fillId="0" borderId="16" xfId="42" applyFont="1" applyBorder="1" applyAlignment="1">
      <alignment horizontal="left" vertical="top" wrapText="1"/>
    </xf>
    <xf numFmtId="165" fontId="38" fillId="10" borderId="63" xfId="42" applyFont="1" applyFill="1" applyBorder="1" applyAlignment="1">
      <alignment horizontal="left" vertical="top"/>
    </xf>
    <xf numFmtId="0" fontId="15" fillId="0" borderId="5" xfId="44" applyFont="1" applyBorder="1" applyAlignment="1">
      <alignment vertical="top" wrapText="1"/>
    </xf>
    <xf numFmtId="43" fontId="15" fillId="0" borderId="62" xfId="40" applyFont="1" applyBorder="1" applyAlignment="1">
      <alignment horizontal="left" vertical="top" wrapText="1"/>
    </xf>
    <xf numFmtId="0" fontId="38" fillId="0" borderId="66" xfId="44" applyFont="1" applyBorder="1" applyAlignment="1">
      <alignment vertical="top" wrapText="1"/>
    </xf>
    <xf numFmtId="49" fontId="15" fillId="0" borderId="50" xfId="15" applyNumberFormat="1" applyFont="1" applyBorder="1" applyAlignment="1">
      <alignment horizontal="center" vertical="top" wrapText="1"/>
    </xf>
    <xf numFmtId="49" fontId="15" fillId="0" borderId="48" xfId="15" applyNumberFormat="1" applyFont="1" applyBorder="1" applyAlignment="1">
      <alignment horizontal="center" vertical="top" wrapText="1"/>
    </xf>
    <xf numFmtId="43" fontId="15" fillId="0" borderId="66" xfId="15" applyFont="1" applyBorder="1" applyAlignment="1">
      <alignment vertical="top"/>
    </xf>
    <xf numFmtId="43" fontId="15" fillId="0" borderId="32" xfId="15" applyFont="1" applyBorder="1" applyAlignment="1">
      <alignment vertical="top" wrapText="1"/>
    </xf>
    <xf numFmtId="0" fontId="15" fillId="0" borderId="0" xfId="44" applyFont="1" applyAlignment="1">
      <alignment vertical="top" wrapText="1"/>
    </xf>
    <xf numFmtId="165" fontId="15" fillId="0" borderId="66" xfId="42" applyFont="1" applyBorder="1" applyAlignment="1">
      <alignment horizontal="left" vertical="top" wrapText="1"/>
    </xf>
    <xf numFmtId="165" fontId="15" fillId="0" borderId="5" xfId="42" applyFont="1" applyBorder="1" applyAlignment="1">
      <alignment horizontal="left" vertical="top"/>
    </xf>
    <xf numFmtId="0" fontId="47" fillId="0" borderId="0" xfId="36" applyFont="1" applyAlignment="1">
      <alignment vertical="top"/>
    </xf>
    <xf numFmtId="0" fontId="48" fillId="0" borderId="0" xfId="36" applyFont="1" applyAlignment="1">
      <alignment vertical="top"/>
    </xf>
    <xf numFmtId="165" fontId="17" fillId="0" borderId="0" xfId="42" applyFont="1" applyAlignment="1">
      <alignment horizontal="left" vertical="top" wrapText="1"/>
    </xf>
    <xf numFmtId="43" fontId="15" fillId="0" borderId="0" xfId="40" applyFont="1" applyAlignment="1">
      <alignment horizontal="left" vertical="top"/>
    </xf>
    <xf numFmtId="165" fontId="17" fillId="0" borderId="0" xfId="42" applyFont="1" applyAlignment="1">
      <alignment horizontal="left" vertical="top"/>
    </xf>
    <xf numFmtId="165" fontId="17" fillId="0" borderId="0" xfId="42" applyFont="1" applyFill="1" applyBorder="1" applyAlignment="1">
      <alignment horizontal="left" vertical="top"/>
    </xf>
    <xf numFmtId="165" fontId="49" fillId="0" borderId="0" xfId="45" applyNumberFormat="1" applyAlignment="1">
      <alignment horizontal="right" vertical="top"/>
    </xf>
    <xf numFmtId="0" fontId="50" fillId="12" borderId="30" xfId="36" applyFont="1" applyFill="1" applyBorder="1"/>
    <xf numFmtId="0" fontId="50" fillId="12" borderId="28" xfId="36" applyFont="1" applyFill="1" applyBorder="1"/>
    <xf numFmtId="0" fontId="50" fillId="12" borderId="29" xfId="36" applyFont="1" applyFill="1" applyBorder="1"/>
    <xf numFmtId="0" fontId="50" fillId="0" borderId="0" xfId="36" applyFont="1"/>
    <xf numFmtId="165" fontId="15" fillId="0" borderId="41" xfId="42" applyFont="1" applyBorder="1" applyAlignment="1">
      <alignment horizontal="center" vertical="center" wrapText="1"/>
    </xf>
    <xf numFmtId="165" fontId="15" fillId="0" borderId="27" xfId="42" applyFont="1" applyBorder="1" applyAlignment="1">
      <alignment horizontal="center" vertical="center" wrapText="1"/>
    </xf>
    <xf numFmtId="165" fontId="15" fillId="0" borderId="28" xfId="42" applyFont="1" applyBorder="1" applyAlignment="1">
      <alignment vertical="center" wrapText="1"/>
    </xf>
    <xf numFmtId="165" fontId="15" fillId="0" borderId="29" xfId="42" applyFont="1" applyBorder="1" applyAlignment="1">
      <alignment vertical="center" wrapText="1"/>
    </xf>
    <xf numFmtId="0" fontId="41" fillId="0" borderId="0" xfId="36"/>
    <xf numFmtId="165" fontId="15" fillId="8" borderId="27" xfId="42" applyFont="1" applyFill="1" applyBorder="1" applyAlignment="1">
      <alignment horizontal="center" vertical="center" wrapText="1"/>
    </xf>
    <xf numFmtId="165" fontId="15" fillId="0" borderId="27" xfId="42" applyFont="1" applyFill="1" applyBorder="1" applyAlignment="1">
      <alignment horizontal="center" vertical="center" wrapText="1"/>
    </xf>
    <xf numFmtId="165" fontId="15" fillId="0" borderId="62" xfId="42" applyFont="1" applyBorder="1" applyAlignment="1">
      <alignment horizontal="left" vertical="top" wrapText="1"/>
    </xf>
    <xf numFmtId="165" fontId="15" fillId="0" borderId="34" xfId="42" applyFont="1" applyBorder="1" applyAlignment="1">
      <alignment horizontal="left" vertical="top" wrapText="1"/>
    </xf>
    <xf numFmtId="49" fontId="15" fillId="0" borderId="50" xfId="42" applyNumberFormat="1" applyFont="1" applyBorder="1" applyAlignment="1">
      <alignment horizontal="center" vertical="top" wrapText="1"/>
    </xf>
    <xf numFmtId="49" fontId="15" fillId="0" borderId="48" xfId="42" applyNumberFormat="1" applyFont="1" applyBorder="1" applyAlignment="1">
      <alignment horizontal="center" vertical="top" wrapText="1"/>
    </xf>
    <xf numFmtId="0" fontId="47" fillId="0" borderId="0" xfId="36" applyFont="1"/>
    <xf numFmtId="0" fontId="51" fillId="0" borderId="0" xfId="36" applyFont="1"/>
    <xf numFmtId="0" fontId="19" fillId="0" borderId="34" xfId="38" applyFont="1" applyBorder="1" applyAlignment="1" applyProtection="1">
      <alignment horizontal="left"/>
      <protection locked="0"/>
    </xf>
    <xf numFmtId="43" fontId="19" fillId="0" borderId="34" xfId="38" applyNumberFormat="1" applyFont="1" applyBorder="1"/>
    <xf numFmtId="43" fontId="19" fillId="0" borderId="34" xfId="39" applyFont="1" applyFill="1" applyBorder="1" applyAlignment="1">
      <alignment horizontal="center"/>
    </xf>
    <xf numFmtId="43" fontId="19" fillId="0" borderId="34" xfId="39" applyFont="1" applyFill="1" applyBorder="1"/>
    <xf numFmtId="43" fontId="53" fillId="0" borderId="34" xfId="39" applyFont="1" applyFill="1" applyBorder="1" applyProtection="1">
      <protection locked="0"/>
    </xf>
    <xf numFmtId="43" fontId="19" fillId="0" borderId="34" xfId="39" applyFont="1" applyFill="1" applyBorder="1" applyProtection="1">
      <protection locked="0"/>
    </xf>
    <xf numFmtId="2" fontId="25" fillId="0" borderId="34" xfId="30" applyNumberFormat="1" applyFont="1" applyBorder="1" applyAlignment="1">
      <alignment horizontal="center"/>
    </xf>
    <xf numFmtId="43" fontId="19" fillId="3" borderId="34" xfId="31" applyFont="1" applyFill="1" applyBorder="1"/>
    <xf numFmtId="0" fontId="25" fillId="0" borderId="13" xfId="30" applyFont="1" applyBorder="1"/>
    <xf numFmtId="0" fontId="19" fillId="0" borderId="13" xfId="30" applyFont="1" applyBorder="1"/>
    <xf numFmtId="43" fontId="19" fillId="0" borderId="13" xfId="30" applyNumberFormat="1" applyFont="1" applyBorder="1"/>
    <xf numFmtId="0" fontId="29" fillId="0" borderId="13" xfId="30" applyBorder="1"/>
    <xf numFmtId="43" fontId="52" fillId="0" borderId="34" xfId="38" applyNumberFormat="1" applyFont="1" applyBorder="1" applyAlignment="1" applyProtection="1">
      <alignment horizontal="center"/>
      <protection locked="0"/>
    </xf>
    <xf numFmtId="0" fontId="26" fillId="0" borderId="34" xfId="30" applyFont="1" applyBorder="1" applyAlignment="1">
      <alignment horizontal="center"/>
    </xf>
    <xf numFmtId="0" fontId="19" fillId="0" borderId="34" xfId="30" applyFont="1" applyBorder="1" applyAlignment="1">
      <alignment horizontal="left"/>
    </xf>
    <xf numFmtId="43" fontId="25" fillId="0" borderId="34" xfId="1" applyFont="1" applyBorder="1" applyAlignment="1">
      <alignment horizontal="center"/>
    </xf>
    <xf numFmtId="2" fontId="35" fillId="0" borderId="34" xfId="30" applyNumberFormat="1" applyFont="1" applyBorder="1"/>
    <xf numFmtId="0" fontId="19" fillId="3" borderId="34" xfId="30" applyFont="1" applyFill="1" applyBorder="1" applyAlignment="1">
      <alignment horizontal="left"/>
    </xf>
    <xf numFmtId="0" fontId="25" fillId="0" borderId="34" xfId="30" applyFont="1" applyBorder="1"/>
    <xf numFmtId="0" fontId="26" fillId="0" borderId="5" xfId="30" applyFont="1" applyBorder="1" applyAlignment="1">
      <alignment horizontal="center"/>
    </xf>
    <xf numFmtId="0" fontId="19" fillId="0" borderId="5" xfId="30" applyFont="1" applyBorder="1" applyAlignment="1">
      <alignment horizontal="left"/>
    </xf>
    <xf numFmtId="43" fontId="25" fillId="0" borderId="5" xfId="1" applyFont="1" applyBorder="1" applyAlignment="1">
      <alignment horizontal="center"/>
    </xf>
    <xf numFmtId="2" fontId="35" fillId="0" borderId="5" xfId="30" applyNumberFormat="1" applyFont="1" applyBorder="1"/>
    <xf numFmtId="0" fontId="26" fillId="0" borderId="27" xfId="30" applyFont="1" applyBorder="1" applyAlignment="1">
      <alignment horizontal="center" vertical="center"/>
    </xf>
    <xf numFmtId="0" fontId="25" fillId="0" borderId="27" xfId="30" applyFont="1" applyBorder="1"/>
    <xf numFmtId="0" fontId="26" fillId="7" borderId="27" xfId="30" applyFont="1" applyFill="1" applyBorder="1" applyAlignment="1">
      <alignment horizontal="center"/>
    </xf>
    <xf numFmtId="0" fontId="42" fillId="0" borderId="0" xfId="0" applyFont="1"/>
    <xf numFmtId="0" fontId="54" fillId="0" borderId="0" xfId="0" applyFont="1"/>
    <xf numFmtId="164" fontId="15" fillId="0" borderId="27" xfId="46" applyNumberFormat="1" applyFont="1" applyFill="1" applyBorder="1" applyAlignment="1">
      <alignment horizontal="center" vertical="top"/>
    </xf>
    <xf numFmtId="165" fontId="27" fillId="0" borderId="34" xfId="46" applyFont="1" applyFill="1" applyBorder="1"/>
    <xf numFmtId="0" fontId="27" fillId="0" borderId="0" xfId="47" applyFont="1" applyAlignment="1">
      <alignment horizontal="center" vertical="center"/>
    </xf>
    <xf numFmtId="0" fontId="27" fillId="0" borderId="0" xfId="47" applyFont="1" applyAlignment="1">
      <alignment horizontal="center"/>
    </xf>
    <xf numFmtId="0" fontId="27" fillId="0" borderId="0" xfId="47" applyFont="1"/>
    <xf numFmtId="0" fontId="44" fillId="0" borderId="0" xfId="0" applyFont="1" applyAlignment="1">
      <alignment vertical="top"/>
    </xf>
    <xf numFmtId="0" fontId="37" fillId="0" borderId="0" xfId="0" applyFont="1"/>
    <xf numFmtId="0" fontId="15" fillId="0" borderId="67" xfId="24" applyFont="1" applyBorder="1" applyAlignment="1">
      <alignment horizontal="center" vertical="center" wrapText="1"/>
    </xf>
    <xf numFmtId="0" fontId="15" fillId="0" borderId="67" xfId="24" applyFont="1" applyBorder="1" applyAlignment="1">
      <alignment horizontal="center" vertical="center"/>
    </xf>
    <xf numFmtId="0" fontId="19" fillId="0" borderId="2" xfId="24" applyFont="1" applyBorder="1" applyAlignment="1">
      <alignment horizontal="center"/>
    </xf>
    <xf numFmtId="0" fontId="19" fillId="0" borderId="27" xfId="24" applyFont="1" applyBorder="1" applyAlignment="1">
      <alignment horizontal="center"/>
    </xf>
    <xf numFmtId="173" fontId="19" fillId="0" borderId="27" xfId="24" applyNumberFormat="1" applyFont="1" applyBorder="1" applyAlignment="1">
      <alignment horizontal="center"/>
    </xf>
    <xf numFmtId="0" fontId="19" fillId="0" borderId="22" xfId="24" applyFont="1" applyBorder="1" applyAlignment="1">
      <alignment horizontal="center"/>
    </xf>
    <xf numFmtId="173" fontId="19" fillId="0" borderId="22" xfId="24" applyNumberFormat="1" applyFont="1" applyBorder="1" applyAlignment="1">
      <alignment horizontal="center"/>
    </xf>
    <xf numFmtId="171" fontId="58" fillId="0" borderId="0" xfId="24" applyNumberFormat="1" applyFont="1"/>
    <xf numFmtId="0" fontId="15" fillId="0" borderId="0" xfId="27" applyFont="1"/>
    <xf numFmtId="0" fontId="16" fillId="0" borderId="0" xfId="27" applyFont="1"/>
    <xf numFmtId="0" fontId="16" fillId="2" borderId="27" xfId="27" applyFont="1" applyFill="1" applyBorder="1" applyAlignment="1">
      <alignment horizontal="center"/>
    </xf>
    <xf numFmtId="0" fontId="16" fillId="0" borderId="0" xfId="37" applyFont="1"/>
    <xf numFmtId="0" fontId="16" fillId="5" borderId="27" xfId="27" applyFont="1" applyFill="1" applyBorder="1" applyAlignment="1">
      <alignment horizontal="center" vertical="top" wrapText="1"/>
    </xf>
    <xf numFmtId="0" fontId="16" fillId="5" borderId="27" xfId="27" applyFont="1" applyFill="1" applyBorder="1" applyAlignment="1">
      <alignment vertical="top" wrapText="1"/>
    </xf>
    <xf numFmtId="0" fontId="16" fillId="4" borderId="27" xfId="27" applyFont="1" applyFill="1" applyBorder="1" applyAlignment="1">
      <alignment horizontal="center" vertical="center"/>
    </xf>
    <xf numFmtId="0" fontId="16" fillId="4" borderId="27" xfId="27" applyFont="1" applyFill="1" applyBorder="1" applyAlignment="1">
      <alignment horizontal="center"/>
    </xf>
    <xf numFmtId="0" fontId="16" fillId="5" borderId="27" xfId="27" applyFont="1" applyFill="1" applyBorder="1" applyAlignment="1">
      <alignment horizontal="center"/>
    </xf>
    <xf numFmtId="0" fontId="16" fillId="2" borderId="27" xfId="27" applyFont="1" applyFill="1" applyBorder="1" applyAlignment="1">
      <alignment horizontal="center" vertical="center"/>
    </xf>
    <xf numFmtId="0" fontId="16" fillId="4" borderId="27" xfId="27" applyFont="1" applyFill="1" applyBorder="1" applyAlignment="1">
      <alignment horizontal="center" vertical="top" wrapText="1"/>
    </xf>
    <xf numFmtId="0" fontId="16" fillId="2" borderId="27" xfId="27" applyFont="1" applyFill="1" applyBorder="1" applyAlignment="1">
      <alignment horizontal="center" vertical="top" wrapText="1"/>
    </xf>
    <xf numFmtId="0" fontId="16" fillId="5" borderId="27" xfId="27" applyFont="1" applyFill="1" applyBorder="1"/>
    <xf numFmtId="0" fontId="15" fillId="0" borderId="0" xfId="37" applyFont="1"/>
    <xf numFmtId="165" fontId="15" fillId="0" borderId="34" xfId="27" applyNumberFormat="1" applyFont="1" applyBorder="1"/>
    <xf numFmtId="0" fontId="15" fillId="0" borderId="34" xfId="27" applyFont="1" applyBorder="1"/>
    <xf numFmtId="165" fontId="15" fillId="0" borderId="0" xfId="27" applyNumberFormat="1" applyFont="1"/>
    <xf numFmtId="0" fontId="15" fillId="0" borderId="65" xfId="27" applyFont="1" applyBorder="1"/>
    <xf numFmtId="165" fontId="15" fillId="0" borderId="65" xfId="27" applyNumberFormat="1" applyFont="1" applyBorder="1"/>
    <xf numFmtId="43" fontId="15" fillId="0" borderId="65" xfId="1" applyFont="1" applyBorder="1"/>
    <xf numFmtId="0" fontId="15" fillId="9" borderId="22" xfId="27" applyFont="1" applyFill="1" applyBorder="1"/>
    <xf numFmtId="165" fontId="59" fillId="9" borderId="22" xfId="27" applyNumberFormat="1" applyFont="1" applyFill="1" applyBorder="1" applyAlignment="1">
      <alignment horizontal="right"/>
    </xf>
    <xf numFmtId="165" fontId="59" fillId="9" borderId="22" xfId="27" applyNumberFormat="1" applyFont="1" applyFill="1" applyBorder="1"/>
    <xf numFmtId="0" fontId="37" fillId="0" borderId="0" xfId="27" applyFont="1"/>
    <xf numFmtId="0" fontId="15" fillId="0" borderId="0" xfId="27" applyFont="1" applyAlignment="1">
      <alignment horizontal="right"/>
    </xf>
    <xf numFmtId="43" fontId="15" fillId="0" borderId="0" xfId="39" applyFont="1" applyFill="1"/>
    <xf numFmtId="0" fontId="53" fillId="0" borderId="0" xfId="27" applyFont="1"/>
    <xf numFmtId="43" fontId="15" fillId="0" borderId="0" xfId="27" applyNumberFormat="1" applyFont="1"/>
    <xf numFmtId="0" fontId="46" fillId="0" borderId="0" xfId="27" applyFont="1"/>
    <xf numFmtId="165" fontId="15" fillId="0" borderId="0" xfId="39" applyNumberFormat="1" applyFont="1" applyFill="1"/>
    <xf numFmtId="0" fontId="42" fillId="0" borderId="0" xfId="27" applyFont="1"/>
    <xf numFmtId="0" fontId="3" fillId="0" borderId="0" xfId="27"/>
    <xf numFmtId="0" fontId="38" fillId="0" borderId="0" xfId="27" applyFont="1"/>
    <xf numFmtId="0" fontId="38" fillId="0" borderId="0" xfId="27" applyFont="1" applyAlignment="1">
      <alignment horizontal="right"/>
    </xf>
    <xf numFmtId="43" fontId="38" fillId="0" borderId="0" xfId="39" applyFont="1" applyFill="1"/>
    <xf numFmtId="43" fontId="38" fillId="0" borderId="0" xfId="27" applyNumberFormat="1" applyFont="1"/>
    <xf numFmtId="165" fontId="38" fillId="0" borderId="0" xfId="39" applyNumberFormat="1" applyFont="1" applyFill="1"/>
    <xf numFmtId="0" fontId="16" fillId="0" borderId="5" xfId="27" applyFont="1" applyBorder="1"/>
    <xf numFmtId="43" fontId="43" fillId="0" borderId="34" xfId="40" applyFont="1" applyFill="1" applyBorder="1"/>
    <xf numFmtId="43" fontId="16" fillId="0" borderId="5" xfId="1" applyFont="1" applyFill="1" applyBorder="1"/>
    <xf numFmtId="43" fontId="37" fillId="0" borderId="34" xfId="40" applyFont="1" applyFill="1" applyBorder="1"/>
    <xf numFmtId="165" fontId="15" fillId="0" borderId="50" xfId="42" applyFont="1" applyBorder="1" applyAlignment="1">
      <alignment horizontal="left" vertical="top" wrapText="1"/>
    </xf>
    <xf numFmtId="165" fontId="15" fillId="0" borderId="14" xfId="42" applyFont="1" applyBorder="1" applyAlignment="1">
      <alignment horizontal="left" vertical="top" wrapText="1"/>
    </xf>
    <xf numFmtId="165" fontId="38" fillId="0" borderId="34" xfId="42" applyFont="1" applyBorder="1" applyAlignment="1">
      <alignment horizontal="left" vertical="top"/>
    </xf>
    <xf numFmtId="165" fontId="15" fillId="0" borderId="62" xfId="42" applyFont="1" applyFill="1" applyBorder="1" applyAlignment="1">
      <alignment horizontal="left" vertical="top" wrapText="1"/>
    </xf>
    <xf numFmtId="165" fontId="15" fillId="0" borderId="34" xfId="42" applyFont="1" applyFill="1" applyBorder="1" applyAlignment="1">
      <alignment horizontal="left" vertical="top" wrapText="1"/>
    </xf>
    <xf numFmtId="49" fontId="15" fillId="0" borderId="50" xfId="42" applyNumberFormat="1" applyFont="1" applyFill="1" applyBorder="1" applyAlignment="1">
      <alignment horizontal="center" vertical="top" wrapText="1"/>
    </xf>
    <xf numFmtId="49" fontId="15" fillId="0" borderId="48" xfId="42" applyNumberFormat="1" applyFont="1" applyFill="1" applyBorder="1" applyAlignment="1">
      <alignment horizontal="center" vertical="top" wrapText="1"/>
    </xf>
    <xf numFmtId="165" fontId="15" fillId="0" borderId="66" xfId="42" applyFont="1" applyFill="1" applyBorder="1" applyAlignment="1">
      <alignment horizontal="left" vertical="top" wrapText="1"/>
    </xf>
    <xf numFmtId="164" fontId="17" fillId="0" borderId="0" xfId="46" applyNumberFormat="1" applyFont="1" applyFill="1" applyAlignment="1">
      <alignment vertical="top"/>
    </xf>
    <xf numFmtId="164" fontId="15" fillId="0" borderId="0" xfId="46" applyNumberFormat="1" applyFont="1" applyFill="1" applyBorder="1" applyAlignment="1">
      <alignment horizontal="right" vertical="top"/>
    </xf>
    <xf numFmtId="164" fontId="28" fillId="0" borderId="27" xfId="46" applyNumberFormat="1" applyFont="1" applyFill="1" applyBorder="1" applyAlignment="1">
      <alignment horizontal="center" vertical="top"/>
    </xf>
    <xf numFmtId="43" fontId="15" fillId="0" borderId="62" xfId="40" applyFont="1" applyFill="1" applyBorder="1" applyAlignment="1">
      <alignment horizontal="left" vertical="top"/>
    </xf>
    <xf numFmtId="43" fontId="15" fillId="0" borderId="34" xfId="15" applyFont="1" applyFill="1" applyBorder="1" applyAlignment="1">
      <alignment vertical="top" wrapText="1"/>
    </xf>
    <xf numFmtId="49" fontId="15" fillId="0" borderId="50" xfId="42" applyNumberFormat="1" applyFont="1" applyFill="1" applyBorder="1" applyAlignment="1">
      <alignment horizontal="center" vertical="top"/>
    </xf>
    <xf numFmtId="165" fontId="15" fillId="0" borderId="66" xfId="42" applyFont="1" applyFill="1" applyBorder="1" applyAlignment="1">
      <alignment horizontal="left" vertical="top"/>
    </xf>
    <xf numFmtId="165" fontId="27" fillId="0" borderId="5" xfId="46" applyFont="1" applyFill="1" applyBorder="1"/>
    <xf numFmtId="165" fontId="27" fillId="0" borderId="12" xfId="46" applyFont="1" applyFill="1" applyBorder="1"/>
    <xf numFmtId="165" fontId="27" fillId="0" borderId="7" xfId="46" applyFont="1" applyFill="1" applyBorder="1"/>
    <xf numFmtId="165" fontId="27" fillId="0" borderId="34" xfId="47" applyNumberFormat="1" applyFont="1" applyBorder="1"/>
    <xf numFmtId="165" fontId="15" fillId="0" borderId="51" xfId="42" applyFont="1" applyFill="1" applyBorder="1" applyAlignment="1">
      <alignment horizontal="left" vertical="top" wrapText="1"/>
    </xf>
    <xf numFmtId="49" fontId="15" fillId="0" borderId="50" xfId="15" applyNumberFormat="1" applyFont="1" applyFill="1" applyBorder="1" applyAlignment="1">
      <alignment horizontal="center" vertical="top" wrapText="1"/>
    </xf>
    <xf numFmtId="49" fontId="15" fillId="0" borderId="48" xfId="15" applyNumberFormat="1" applyFont="1" applyFill="1" applyBorder="1" applyAlignment="1">
      <alignment horizontal="center" vertical="top" wrapText="1"/>
    </xf>
    <xf numFmtId="43" fontId="15" fillId="0" borderId="66" xfId="15" applyFont="1" applyFill="1" applyBorder="1" applyAlignment="1">
      <alignment vertical="top"/>
    </xf>
    <xf numFmtId="0" fontId="27" fillId="0" borderId="34" xfId="47" applyFont="1" applyBorder="1"/>
    <xf numFmtId="165" fontId="28" fillId="0" borderId="22" xfId="46" applyFont="1" applyFill="1" applyBorder="1" applyAlignment="1">
      <alignment horizontal="center" vertical="top"/>
    </xf>
    <xf numFmtId="165" fontId="15" fillId="0" borderId="34" xfId="42" applyFont="1" applyFill="1" applyBorder="1" applyAlignment="1">
      <alignment horizontal="center" vertical="top" wrapText="1"/>
    </xf>
    <xf numFmtId="165" fontId="15" fillId="0" borderId="66" xfId="42" applyFont="1" applyFill="1" applyBorder="1" applyAlignment="1">
      <alignment horizontal="center" vertical="top" wrapText="1"/>
    </xf>
    <xf numFmtId="164" fontId="17" fillId="0" borderId="0" xfId="46" applyNumberFormat="1" applyFont="1" applyFill="1" applyAlignment="1">
      <alignment horizontal="center" vertical="top"/>
    </xf>
    <xf numFmtId="0" fontId="15" fillId="0" borderId="0" xfId="46" applyNumberFormat="1" applyFont="1" applyFill="1" applyBorder="1" applyAlignment="1">
      <alignment horizontal="center" vertical="top"/>
    </xf>
    <xf numFmtId="165" fontId="15" fillId="0" borderId="50" xfId="42" applyFont="1" applyFill="1" applyBorder="1" applyAlignment="1">
      <alignment horizontal="left" vertical="top"/>
    </xf>
    <xf numFmtId="165" fontId="38" fillId="0" borderId="34" xfId="46" applyFont="1" applyFill="1" applyBorder="1"/>
    <xf numFmtId="165" fontId="27" fillId="0" borderId="6" xfId="46" applyFont="1" applyFill="1" applyBorder="1"/>
    <xf numFmtId="165" fontId="27" fillId="0" borderId="15" xfId="46" applyFont="1" applyFill="1" applyBorder="1"/>
    <xf numFmtId="0" fontId="27" fillId="0" borderId="0" xfId="47" applyFont="1" applyAlignment="1">
      <alignment horizontal="right"/>
    </xf>
    <xf numFmtId="43" fontId="15" fillId="0" borderId="15" xfId="1" applyFont="1" applyFill="1" applyBorder="1"/>
    <xf numFmtId="0" fontId="16" fillId="4" borderId="27" xfId="27" applyFont="1" applyFill="1" applyBorder="1" applyAlignment="1">
      <alignment vertical="top" wrapText="1"/>
    </xf>
    <xf numFmtId="0" fontId="16" fillId="4" borderId="27" xfId="27" applyFont="1" applyFill="1" applyBorder="1" applyAlignment="1">
      <alignment horizontal="center" vertical="top"/>
    </xf>
    <xf numFmtId="0" fontId="4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15" fillId="0" borderId="0" xfId="56" applyFont="1" applyAlignment="1">
      <alignment vertical="center"/>
    </xf>
    <xf numFmtId="0" fontId="15" fillId="0" borderId="0" xfId="56" applyFont="1" applyAlignment="1">
      <alignment horizontal="center" vertical="center"/>
    </xf>
    <xf numFmtId="0" fontId="16" fillId="0" borderId="0" xfId="56" applyFont="1" applyAlignment="1">
      <alignment vertical="center"/>
    </xf>
    <xf numFmtId="0" fontId="15" fillId="0" borderId="27" xfId="0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2" fontId="15" fillId="0" borderId="0" xfId="56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1" fontId="15" fillId="0" borderId="0" xfId="0" applyNumberFormat="1" applyFont="1"/>
    <xf numFmtId="0" fontId="16" fillId="0" borderId="0" xfId="56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2" fontId="15" fillId="0" borderId="27" xfId="0" applyNumberFormat="1" applyFont="1" applyBorder="1" applyAlignment="1">
      <alignment horizontal="center"/>
    </xf>
    <xf numFmtId="165" fontId="15" fillId="0" borderId="0" xfId="56" applyNumberFormat="1" applyFont="1" applyAlignment="1">
      <alignment horizontal="center" vertical="center"/>
    </xf>
    <xf numFmtId="2" fontId="15" fillId="0" borderId="0" xfId="56" applyNumberFormat="1" applyFont="1" applyAlignment="1">
      <alignment vertical="center"/>
    </xf>
    <xf numFmtId="43" fontId="15" fillId="0" borderId="0" xfId="1" applyFont="1" applyAlignment="1">
      <alignment vertical="center"/>
    </xf>
    <xf numFmtId="165" fontId="15" fillId="0" borderId="0" xfId="56" applyNumberFormat="1" applyFont="1" applyAlignment="1">
      <alignment vertical="center"/>
    </xf>
    <xf numFmtId="0" fontId="15" fillId="8" borderId="27" xfId="0" applyFont="1" applyFill="1" applyBorder="1" applyAlignment="1">
      <alignment horizontal="center"/>
    </xf>
    <xf numFmtId="2" fontId="15" fillId="13" borderId="27" xfId="0" applyNumberFormat="1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5" fillId="0" borderId="0" xfId="0" applyFont="1" applyAlignment="1">
      <alignment vertical="top"/>
    </xf>
    <xf numFmtId="0" fontId="15" fillId="8" borderId="0" xfId="0" applyFont="1" applyFill="1"/>
    <xf numFmtId="0" fontId="36" fillId="0" borderId="0" xfId="0" applyFont="1" applyAlignment="1">
      <alignment horizontal="left"/>
    </xf>
    <xf numFmtId="4" fontId="15" fillId="0" borderId="0" xfId="0" applyNumberFormat="1" applyFont="1"/>
    <xf numFmtId="43" fontId="15" fillId="0" borderId="0" xfId="1" applyFont="1" applyFill="1" applyAlignment="1">
      <alignment vertical="center"/>
    </xf>
    <xf numFmtId="0" fontId="15" fillId="0" borderId="27" xfId="0" applyFont="1" applyBorder="1"/>
    <xf numFmtId="0" fontId="37" fillId="0" borderId="27" xfId="0" applyFont="1" applyBorder="1"/>
    <xf numFmtId="0" fontId="42" fillId="0" borderId="0" xfId="0" applyFont="1" applyAlignment="1">
      <alignment vertical="center"/>
    </xf>
    <xf numFmtId="4" fontId="36" fillId="0" borderId="0" xfId="0" applyNumberFormat="1" applyFont="1"/>
    <xf numFmtId="4" fontId="37" fillId="0" borderId="0" xfId="0" applyNumberFormat="1" applyFont="1"/>
    <xf numFmtId="0" fontId="19" fillId="6" borderId="27" xfId="24" applyFont="1" applyFill="1" applyBorder="1" applyAlignment="1">
      <alignment horizontal="center"/>
    </xf>
    <xf numFmtId="173" fontId="19" fillId="6" borderId="27" xfId="24" applyNumberFormat="1" applyFont="1" applyFill="1" applyBorder="1" applyAlignment="1">
      <alignment horizontal="center"/>
    </xf>
    <xf numFmtId="43" fontId="13" fillId="0" borderId="0" xfId="1" applyFont="1"/>
    <xf numFmtId="43" fontId="13" fillId="0" borderId="0" xfId="1" applyFont="1" applyAlignment="1"/>
    <xf numFmtId="0" fontId="15" fillId="18" borderId="5" xfId="0" applyFont="1" applyFill="1" applyBorder="1" applyAlignment="1">
      <alignment horizontal="center"/>
    </xf>
    <xf numFmtId="43" fontId="15" fillId="18" borderId="16" xfId="1" applyFont="1" applyFill="1" applyBorder="1" applyAlignment="1">
      <alignment horizontal="center"/>
    </xf>
    <xf numFmtId="0" fontId="15" fillId="18" borderId="16" xfId="0" applyFont="1" applyFill="1" applyBorder="1" applyAlignment="1">
      <alignment horizontal="center"/>
    </xf>
    <xf numFmtId="43" fontId="15" fillId="18" borderId="5" xfId="1" applyFont="1" applyFill="1" applyBorder="1"/>
    <xf numFmtId="43" fontId="15" fillId="18" borderId="34" xfId="1" applyFont="1" applyFill="1" applyBorder="1"/>
    <xf numFmtId="43" fontId="15" fillId="18" borderId="17" xfId="1" applyFont="1" applyFill="1" applyBorder="1"/>
    <xf numFmtId="43" fontId="15" fillId="18" borderId="32" xfId="1" applyFont="1" applyFill="1" applyBorder="1"/>
    <xf numFmtId="43" fontId="16" fillId="18" borderId="32" xfId="1" applyFont="1" applyFill="1" applyBorder="1"/>
    <xf numFmtId="43" fontId="16" fillId="18" borderId="13" xfId="27" applyNumberFormat="1" applyFont="1" applyFill="1" applyBorder="1" applyAlignment="1">
      <alignment horizontal="center"/>
    </xf>
    <xf numFmtId="43" fontId="15" fillId="20" borderId="14" xfId="1" applyFont="1" applyFill="1" applyBorder="1" applyAlignment="1">
      <alignment vertical="center"/>
    </xf>
    <xf numFmtId="43" fontId="15" fillId="20" borderId="34" xfId="26" applyFont="1" applyFill="1" applyBorder="1" applyAlignment="1">
      <alignment horizontal="center" vertical="center"/>
    </xf>
    <xf numFmtId="0" fontId="16" fillId="20" borderId="5" xfId="0" applyFont="1" applyFill="1" applyBorder="1" applyAlignment="1">
      <alignment horizontal="center"/>
    </xf>
    <xf numFmtId="0" fontId="15" fillId="20" borderId="5" xfId="0" applyFont="1" applyFill="1" applyBorder="1" applyAlignment="1">
      <alignment horizontal="center"/>
    </xf>
    <xf numFmtId="43" fontId="15" fillId="20" borderId="5" xfId="1" applyFont="1" applyFill="1" applyBorder="1"/>
    <xf numFmtId="43" fontId="15" fillId="20" borderId="34" xfId="1" applyFont="1" applyFill="1" applyBorder="1"/>
    <xf numFmtId="43" fontId="15" fillId="20" borderId="17" xfId="1" applyFont="1" applyFill="1" applyBorder="1"/>
    <xf numFmtId="43" fontId="15" fillId="20" borderId="32" xfId="1" applyFont="1" applyFill="1" applyBorder="1"/>
    <xf numFmtId="43" fontId="15" fillId="18" borderId="5" xfId="1" applyFont="1" applyFill="1" applyBorder="1" applyAlignment="1">
      <alignment horizontal="center"/>
    </xf>
    <xf numFmtId="43" fontId="15" fillId="18" borderId="11" xfId="27" applyNumberFormat="1" applyFont="1" applyFill="1" applyBorder="1" applyAlignment="1">
      <alignment horizontal="center"/>
    </xf>
    <xf numFmtId="0" fontId="15" fillId="15" borderId="27" xfId="0" applyFont="1" applyFill="1" applyBorder="1" applyAlignment="1">
      <alignment horizontal="center"/>
    </xf>
    <xf numFmtId="0" fontId="16" fillId="15" borderId="28" xfId="0" applyFont="1" applyFill="1" applyBorder="1" applyAlignment="1">
      <alignment horizontal="center"/>
    </xf>
    <xf numFmtId="43" fontId="16" fillId="15" borderId="27" xfId="1" applyFont="1" applyFill="1" applyBorder="1" applyAlignment="1">
      <alignment horizontal="center"/>
    </xf>
    <xf numFmtId="0" fontId="15" fillId="15" borderId="29" xfId="0" applyFont="1" applyFill="1" applyBorder="1" applyAlignment="1">
      <alignment horizontal="center"/>
    </xf>
    <xf numFmtId="43" fontId="16" fillId="15" borderId="27" xfId="1" applyFont="1" applyFill="1" applyBorder="1"/>
    <xf numFmtId="43" fontId="16" fillId="15" borderId="30" xfId="1" applyFont="1" applyFill="1" applyBorder="1"/>
    <xf numFmtId="0" fontId="16" fillId="15" borderId="27" xfId="0" applyFont="1" applyFill="1" applyBorder="1" applyAlignment="1">
      <alignment horizontal="center"/>
    </xf>
    <xf numFmtId="0" fontId="15" fillId="19" borderId="27" xfId="0" applyFont="1" applyFill="1" applyBorder="1" applyAlignment="1">
      <alignment horizontal="center"/>
    </xf>
    <xf numFmtId="0" fontId="16" fillId="19" borderId="27" xfId="0" applyFont="1" applyFill="1" applyBorder="1" applyAlignment="1">
      <alignment horizontal="center"/>
    </xf>
    <xf numFmtId="43" fontId="16" fillId="19" borderId="27" xfId="1" applyFont="1" applyFill="1" applyBorder="1" applyAlignment="1">
      <alignment horizontal="center"/>
    </xf>
    <xf numFmtId="43" fontId="16" fillId="19" borderId="27" xfId="1" applyFont="1" applyFill="1" applyBorder="1"/>
    <xf numFmtId="43" fontId="16" fillId="19" borderId="27" xfId="0" applyNumberFormat="1" applyFont="1" applyFill="1" applyBorder="1" applyAlignment="1">
      <alignment horizontal="center"/>
    </xf>
    <xf numFmtId="43" fontId="16" fillId="19" borderId="27" xfId="0" applyNumberFormat="1" applyFont="1" applyFill="1" applyBorder="1" applyAlignment="1">
      <alignment horizontal="center" vertical="center"/>
    </xf>
    <xf numFmtId="0" fontId="16" fillId="14" borderId="27" xfId="0" applyFont="1" applyFill="1" applyBorder="1" applyAlignment="1">
      <alignment horizontal="center" vertical="center"/>
    </xf>
    <xf numFmtId="43" fontId="16" fillId="15" borderId="27" xfId="0" applyNumberFormat="1" applyFont="1" applyFill="1" applyBorder="1" applyAlignment="1">
      <alignment horizontal="center" vertical="center"/>
    </xf>
    <xf numFmtId="0" fontId="16" fillId="21" borderId="27" xfId="0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166" fontId="16" fillId="23" borderId="0" xfId="3" applyNumberFormat="1" applyFont="1" applyFill="1" applyAlignment="1">
      <alignment horizontal="right" vertical="center"/>
    </xf>
    <xf numFmtId="43" fontId="15" fillId="23" borderId="0" xfId="1" applyFont="1" applyFill="1" applyBorder="1" applyAlignment="1">
      <alignment horizontal="right" vertical="center"/>
    </xf>
    <xf numFmtId="43" fontId="16" fillId="23" borderId="0" xfId="1" applyFont="1" applyFill="1" applyBorder="1" applyAlignment="1">
      <alignment horizontal="right" vertical="center"/>
    </xf>
    <xf numFmtId="43" fontId="16" fillId="23" borderId="0" xfId="4" applyFont="1" applyFill="1" applyBorder="1" applyAlignment="1">
      <alignment horizontal="center" vertical="center"/>
    </xf>
    <xf numFmtId="43" fontId="15" fillId="23" borderId="0" xfId="1" applyFont="1" applyFill="1" applyBorder="1" applyAlignment="1">
      <alignment horizontal="left" vertical="center"/>
    </xf>
    <xf numFmtId="43" fontId="13" fillId="0" borderId="0" xfId="0" applyNumberFormat="1" applyFont="1"/>
    <xf numFmtId="0" fontId="13" fillId="2" borderId="0" xfId="0" applyFont="1" applyFill="1"/>
    <xf numFmtId="0" fontId="15" fillId="2" borderId="0" xfId="56" applyFont="1" applyFill="1" applyAlignment="1">
      <alignment vertical="center"/>
    </xf>
    <xf numFmtId="43" fontId="13" fillId="2" borderId="0" xfId="1" applyFont="1" applyFill="1"/>
    <xf numFmtId="166" fontId="63" fillId="2" borderId="0" xfId="3" applyNumberFormat="1" applyFont="1" applyFill="1" applyAlignment="1">
      <alignment horizontal="right" vertical="center"/>
    </xf>
    <xf numFmtId="166" fontId="64" fillId="2" borderId="0" xfId="0" applyNumberFormat="1" applyFont="1" applyFill="1" applyAlignment="1">
      <alignment vertical="center"/>
    </xf>
    <xf numFmtId="166" fontId="64" fillId="3" borderId="0" xfId="0" applyNumberFormat="1" applyFont="1" applyFill="1" applyAlignment="1">
      <alignment vertical="center"/>
    </xf>
    <xf numFmtId="0" fontId="65" fillId="0" borderId="0" xfId="0" applyFont="1"/>
    <xf numFmtId="43" fontId="64" fillId="2" borderId="0" xfId="1" applyFont="1" applyFill="1" applyBorder="1" applyAlignment="1">
      <alignment horizontal="right" vertical="center"/>
    </xf>
    <xf numFmtId="43" fontId="63" fillId="2" borderId="0" xfId="1" applyFont="1" applyFill="1" applyBorder="1" applyAlignment="1">
      <alignment horizontal="right" vertical="center"/>
    </xf>
    <xf numFmtId="43" fontId="63" fillId="2" borderId="0" xfId="4" applyFont="1" applyFill="1" applyBorder="1" applyAlignment="1">
      <alignment horizontal="center" vertical="center"/>
    </xf>
    <xf numFmtId="43" fontId="64" fillId="0" borderId="0" xfId="1" applyFont="1" applyFill="1" applyAlignment="1">
      <alignment vertical="center"/>
    </xf>
    <xf numFmtId="43" fontId="64" fillId="2" borderId="0" xfId="1" applyFont="1" applyFill="1" applyBorder="1" applyAlignment="1">
      <alignment horizontal="left" vertical="center"/>
    </xf>
    <xf numFmtId="0" fontId="64" fillId="2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68" fillId="0" borderId="0" xfId="3" applyFont="1"/>
    <xf numFmtId="0" fontId="70" fillId="0" borderId="0" xfId="3" applyFont="1"/>
    <xf numFmtId="0" fontId="16" fillId="22" borderId="27" xfId="0" applyFont="1" applyFill="1" applyBorder="1" applyAlignment="1">
      <alignment horizontal="center"/>
    </xf>
    <xf numFmtId="0" fontId="15" fillId="22" borderId="27" xfId="0" applyFont="1" applyFill="1" applyBorder="1" applyAlignment="1">
      <alignment horizontal="center" vertical="top"/>
    </xf>
    <xf numFmtId="0" fontId="15" fillId="22" borderId="27" xfId="0" applyFont="1" applyFill="1" applyBorder="1"/>
    <xf numFmtId="0" fontId="16" fillId="20" borderId="27" xfId="0" applyFont="1" applyFill="1" applyBorder="1" applyAlignment="1">
      <alignment horizontal="center"/>
    </xf>
    <xf numFmtId="0" fontId="15" fillId="20" borderId="27" xfId="0" applyFont="1" applyFill="1" applyBorder="1" applyAlignment="1">
      <alignment horizontal="center" vertical="top"/>
    </xf>
    <xf numFmtId="0" fontId="15" fillId="20" borderId="27" xfId="0" applyFont="1" applyFill="1" applyBorder="1"/>
    <xf numFmtId="0" fontId="63" fillId="13" borderId="27" xfId="22" applyFont="1" applyFill="1" applyBorder="1" applyAlignment="1">
      <alignment horizontal="center" vertical="center"/>
    </xf>
    <xf numFmtId="41" fontId="63" fillId="13" borderId="27" xfId="12" applyNumberFormat="1" applyFont="1" applyFill="1" applyBorder="1" applyAlignment="1">
      <alignment vertical="center" wrapText="1"/>
    </xf>
    <xf numFmtId="4" fontId="64" fillId="13" borderId="27" xfId="21" applyNumberFormat="1" applyFont="1" applyFill="1" applyBorder="1" applyAlignment="1">
      <alignment horizontal="center" vertical="center"/>
    </xf>
    <xf numFmtId="169" fontId="64" fillId="13" borderId="27" xfId="21" applyNumberFormat="1" applyFont="1" applyFill="1" applyBorder="1" applyAlignment="1">
      <alignment horizontal="center" vertical="center"/>
    </xf>
    <xf numFmtId="43" fontId="64" fillId="13" borderId="27" xfId="21" applyFont="1" applyFill="1" applyBorder="1" applyAlignment="1">
      <alignment horizontal="center" vertical="center"/>
    </xf>
    <xf numFmtId="0" fontId="64" fillId="13" borderId="27" xfId="12" applyFont="1" applyFill="1" applyBorder="1"/>
    <xf numFmtId="0" fontId="64" fillId="0" borderId="27" xfId="0" applyFont="1" applyBorder="1" applyAlignment="1">
      <alignment horizontal="left"/>
    </xf>
    <xf numFmtId="181" fontId="64" fillId="0" borderId="27" xfId="63" applyNumberFormat="1" applyFont="1" applyFill="1" applyBorder="1" applyAlignment="1">
      <alignment horizontal="center"/>
    </xf>
    <xf numFmtId="0" fontId="64" fillId="0" borderId="27" xfId="0" applyFont="1" applyBorder="1" applyAlignment="1">
      <alignment horizontal="center"/>
    </xf>
    <xf numFmtId="165" fontId="64" fillId="0" borderId="27" xfId="63" applyFont="1" applyBorder="1"/>
    <xf numFmtId="165" fontId="64" fillId="0" borderId="27" xfId="63" applyFont="1" applyBorder="1" applyAlignment="1">
      <alignment horizontal="center"/>
    </xf>
    <xf numFmtId="165" fontId="64" fillId="0" borderId="27" xfId="63" applyFont="1" applyFill="1" applyBorder="1" applyAlignment="1">
      <alignment horizontal="right"/>
    </xf>
    <xf numFmtId="165" fontId="64" fillId="0" borderId="27" xfId="63" applyFont="1" applyFill="1" applyBorder="1"/>
    <xf numFmtId="165" fontId="64" fillId="0" borderId="27" xfId="63" applyFont="1" applyFill="1" applyBorder="1" applyAlignment="1">
      <alignment horizontal="center"/>
    </xf>
    <xf numFmtId="0" fontId="64" fillId="0" borderId="27" xfId="12" applyFont="1" applyBorder="1" applyAlignment="1">
      <alignment horizontal="center"/>
    </xf>
    <xf numFmtId="43" fontId="37" fillId="0" borderId="27" xfId="1" applyFont="1" applyFill="1" applyBorder="1" applyAlignment="1">
      <alignment horizontal="center" vertical="center"/>
    </xf>
    <xf numFmtId="169" fontId="37" fillId="0" borderId="27" xfId="21" applyNumberFormat="1" applyFont="1" applyFill="1" applyBorder="1" applyAlignment="1">
      <alignment horizontal="center" vertical="center"/>
    </xf>
    <xf numFmtId="43" fontId="37" fillId="0" borderId="27" xfId="21" applyFont="1" applyFill="1" applyBorder="1" applyAlignment="1">
      <alignment horizontal="center" vertical="center"/>
    </xf>
    <xf numFmtId="43" fontId="37" fillId="0" borderId="27" xfId="1" applyFont="1" applyFill="1" applyBorder="1" applyAlignment="1">
      <alignment horizontal="center"/>
    </xf>
    <xf numFmtId="43" fontId="15" fillId="0" borderId="27" xfId="21" applyFont="1" applyFill="1" applyBorder="1"/>
    <xf numFmtId="0" fontId="16" fillId="18" borderId="27" xfId="0" applyFont="1" applyFill="1" applyBorder="1" applyAlignment="1">
      <alignment horizontal="center"/>
    </xf>
    <xf numFmtId="0" fontId="15" fillId="18" borderId="27" xfId="0" applyFont="1" applyFill="1" applyBorder="1" applyAlignment="1">
      <alignment horizontal="center" vertical="top"/>
    </xf>
    <xf numFmtId="0" fontId="15" fillId="18" borderId="27" xfId="0" applyFont="1" applyFill="1" applyBorder="1"/>
    <xf numFmtId="0" fontId="16" fillId="13" borderId="27" xfId="0" applyFont="1" applyFill="1" applyBorder="1" applyAlignment="1">
      <alignment horizontal="left"/>
    </xf>
    <xf numFmtId="0" fontId="15" fillId="13" borderId="27" xfId="0" applyFont="1" applyFill="1" applyBorder="1" applyAlignment="1">
      <alignment horizontal="center" vertical="top"/>
    </xf>
    <xf numFmtId="0" fontId="15" fillId="13" borderId="27" xfId="0" applyFont="1" applyFill="1" applyBorder="1"/>
    <xf numFmtId="0" fontId="15" fillId="0" borderId="27" xfId="22" applyFont="1" applyBorder="1" applyAlignment="1">
      <alignment horizontal="center" vertical="center"/>
    </xf>
    <xf numFmtId="0" fontId="37" fillId="0" borderId="27" xfId="22" quotePrefix="1" applyFont="1" applyBorder="1" applyAlignment="1">
      <alignment horizontal="left" vertical="center" wrapText="1"/>
    </xf>
    <xf numFmtId="0" fontId="37" fillId="0" borderId="27" xfId="33" applyFont="1" applyBorder="1" applyAlignment="1">
      <alignment horizontal="center" vertical="center"/>
    </xf>
    <xf numFmtId="43" fontId="37" fillId="0" borderId="27" xfId="1" applyFont="1" applyFill="1" applyBorder="1" applyAlignment="1" applyProtection="1">
      <alignment vertical="center"/>
    </xf>
    <xf numFmtId="0" fontId="15" fillId="0" borderId="27" xfId="12" applyFont="1" applyBorder="1"/>
    <xf numFmtId="0" fontId="16" fillId="0" borderId="27" xfId="22" applyFont="1" applyBorder="1" applyAlignment="1">
      <alignment horizontal="center" vertical="center"/>
    </xf>
    <xf numFmtId="0" fontId="16" fillId="12" borderId="27" xfId="0" applyFont="1" applyFill="1" applyBorder="1" applyAlignment="1">
      <alignment horizontal="center"/>
    </xf>
    <xf numFmtId="49" fontId="16" fillId="12" borderId="27" xfId="3" applyNumberFormat="1" applyFont="1" applyFill="1" applyBorder="1"/>
    <xf numFmtId="43" fontId="15" fillId="12" borderId="27" xfId="1" applyFont="1" applyFill="1" applyBorder="1" applyAlignment="1">
      <alignment horizontal="center"/>
    </xf>
    <xf numFmtId="43" fontId="15" fillId="12" borderId="27" xfId="21" applyFont="1" applyFill="1" applyBorder="1" applyAlignment="1">
      <alignment horizontal="center" vertical="center"/>
    </xf>
    <xf numFmtId="0" fontId="15" fillId="12" borderId="27" xfId="0" applyFont="1" applyFill="1" applyBorder="1"/>
    <xf numFmtId="0" fontId="16" fillId="20" borderId="27" xfId="52" applyFont="1" applyFill="1" applyBorder="1" applyAlignment="1">
      <alignment horizontal="center" vertical="center"/>
    </xf>
    <xf numFmtId="0" fontId="16" fillId="20" borderId="27" xfId="53" applyFont="1" applyFill="1" applyBorder="1" applyAlignment="1">
      <alignment horizontal="left" vertical="center"/>
    </xf>
    <xf numFmtId="165" fontId="15" fillId="20" borderId="27" xfId="54" applyFont="1" applyFill="1" applyBorder="1" applyAlignment="1">
      <alignment horizontal="center" vertical="center"/>
    </xf>
    <xf numFmtId="165" fontId="15" fillId="20" borderId="27" xfId="55" applyNumberFormat="1" applyFont="1" applyFill="1" applyBorder="1" applyAlignment="1">
      <alignment horizontal="center" vertical="center"/>
    </xf>
    <xf numFmtId="43" fontId="15" fillId="20" borderId="27" xfId="23" applyFont="1" applyFill="1" applyBorder="1" applyAlignment="1">
      <alignment horizontal="right" vertical="center"/>
    </xf>
    <xf numFmtId="0" fontId="15" fillId="20" borderId="27" xfId="52" applyFont="1" applyFill="1" applyBorder="1" applyAlignment="1">
      <alignment vertical="center"/>
    </xf>
    <xf numFmtId="0" fontId="15" fillId="17" borderId="27" xfId="52" applyFont="1" applyFill="1" applyBorder="1" applyAlignment="1">
      <alignment horizontal="center" vertical="center"/>
    </xf>
    <xf numFmtId="0" fontId="15" fillId="17" borderId="27" xfId="53" applyFont="1" applyFill="1" applyBorder="1" applyAlignment="1">
      <alignment horizontal="left" vertical="center"/>
    </xf>
    <xf numFmtId="165" fontId="15" fillId="17" borderId="27" xfId="54" applyFont="1" applyFill="1" applyBorder="1" applyAlignment="1">
      <alignment horizontal="center" vertical="center"/>
    </xf>
    <xf numFmtId="165" fontId="15" fillId="17" borderId="27" xfId="55" applyNumberFormat="1" applyFont="1" applyFill="1" applyBorder="1" applyAlignment="1">
      <alignment horizontal="center" vertical="center"/>
    </xf>
    <xf numFmtId="165" fontId="15" fillId="17" borderId="27" xfId="61" applyFont="1" applyFill="1" applyBorder="1" applyAlignment="1">
      <alignment horizontal="center"/>
    </xf>
    <xf numFmtId="165" fontId="15" fillId="17" borderId="27" xfId="57" applyFont="1" applyFill="1" applyBorder="1" applyAlignment="1">
      <alignment horizontal="right" vertical="center"/>
    </xf>
    <xf numFmtId="43" fontId="15" fillId="17" borderId="27" xfId="23" applyFont="1" applyFill="1" applyBorder="1" applyAlignment="1">
      <alignment horizontal="right" vertical="center"/>
    </xf>
    <xf numFmtId="165" fontId="15" fillId="17" borderId="27" xfId="52" applyNumberFormat="1" applyFont="1" applyFill="1" applyBorder="1" applyAlignment="1">
      <alignment vertical="center"/>
    </xf>
    <xf numFmtId="0" fontId="15" fillId="0" borderId="27" xfId="52" applyFont="1" applyBorder="1" applyAlignment="1">
      <alignment horizontal="center" vertical="center"/>
    </xf>
    <xf numFmtId="0" fontId="15" fillId="0" borderId="27" xfId="53" applyFont="1" applyBorder="1" applyAlignment="1">
      <alignment horizontal="left" vertical="center"/>
    </xf>
    <xf numFmtId="165" fontId="15" fillId="0" borderId="27" xfId="54" applyFont="1" applyFill="1" applyBorder="1" applyAlignment="1">
      <alignment horizontal="center" vertical="center"/>
    </xf>
    <xf numFmtId="165" fontId="15" fillId="0" borderId="27" xfId="55" applyNumberFormat="1" applyFont="1" applyFill="1" applyBorder="1" applyAlignment="1">
      <alignment horizontal="center" vertical="center"/>
    </xf>
    <xf numFmtId="165" fontId="15" fillId="0" borderId="27" xfId="61" applyFont="1" applyFill="1" applyBorder="1" applyAlignment="1">
      <alignment horizontal="center"/>
    </xf>
    <xf numFmtId="165" fontId="15" fillId="0" borderId="27" xfId="57" applyFont="1" applyFill="1" applyBorder="1" applyAlignment="1">
      <alignment horizontal="right" vertical="center"/>
    </xf>
    <xf numFmtId="43" fontId="15" fillId="0" borderId="27" xfId="23" applyFont="1" applyFill="1" applyBorder="1" applyAlignment="1">
      <alignment horizontal="right" vertical="center"/>
    </xf>
    <xf numFmtId="165" fontId="15" fillId="0" borderId="27" xfId="52" applyNumberFormat="1" applyFont="1" applyBorder="1" applyAlignment="1">
      <alignment vertical="center"/>
    </xf>
    <xf numFmtId="175" fontId="15" fillId="17" borderId="27" xfId="10" applyNumberFormat="1" applyFont="1" applyFill="1" applyBorder="1" applyAlignment="1">
      <alignment horizontal="left"/>
    </xf>
    <xf numFmtId="169" fontId="15" fillId="17" borderId="27" xfId="54" applyNumberFormat="1" applyFont="1" applyFill="1" applyBorder="1" applyAlignment="1">
      <alignment horizontal="center" vertical="center"/>
    </xf>
    <xf numFmtId="4" fontId="15" fillId="17" borderId="27" xfId="23" applyNumberFormat="1" applyFont="1" applyFill="1" applyBorder="1" applyAlignment="1">
      <alignment horizontal="right" vertical="center"/>
    </xf>
    <xf numFmtId="0" fontId="15" fillId="17" borderId="27" xfId="52" applyFont="1" applyFill="1" applyBorder="1" applyAlignment="1">
      <alignment vertical="center"/>
    </xf>
    <xf numFmtId="175" fontId="15" fillId="0" borderId="27" xfId="10" applyNumberFormat="1" applyFont="1" applyBorder="1" applyAlignment="1">
      <alignment horizontal="left" indent="1"/>
    </xf>
    <xf numFmtId="169" fontId="15" fillId="0" borderId="27" xfId="54" applyNumberFormat="1" applyFont="1" applyFill="1" applyBorder="1" applyAlignment="1">
      <alignment horizontal="center" vertical="center"/>
    </xf>
    <xf numFmtId="4" fontId="15" fillId="0" borderId="27" xfId="23" applyNumberFormat="1" applyFont="1" applyFill="1" applyBorder="1" applyAlignment="1">
      <alignment horizontal="right" vertical="center"/>
    </xf>
    <xf numFmtId="0" fontId="15" fillId="0" borderId="27" xfId="52" applyFont="1" applyBorder="1" applyAlignment="1">
      <alignment vertical="center"/>
    </xf>
    <xf numFmtId="0" fontId="15" fillId="12" borderId="27" xfId="52" applyFont="1" applyFill="1" applyBorder="1" applyAlignment="1">
      <alignment horizontal="center" vertical="center"/>
    </xf>
    <xf numFmtId="175" fontId="16" fillId="12" borderId="27" xfId="10" applyNumberFormat="1" applyFont="1" applyFill="1" applyBorder="1" applyAlignment="1">
      <alignment horizontal="left" indent="1"/>
    </xf>
    <xf numFmtId="43" fontId="15" fillId="12" borderId="27" xfId="23" applyFont="1" applyFill="1" applyBorder="1" applyAlignment="1">
      <alignment horizontal="right" vertical="center"/>
    </xf>
    <xf numFmtId="169" fontId="15" fillId="12" borderId="27" xfId="54" applyNumberFormat="1" applyFont="1" applyFill="1" applyBorder="1" applyAlignment="1">
      <alignment horizontal="center" vertical="center"/>
    </xf>
    <xf numFmtId="4" fontId="15" fillId="12" borderId="27" xfId="23" applyNumberFormat="1" applyFont="1" applyFill="1" applyBorder="1" applyAlignment="1">
      <alignment horizontal="right" vertical="center"/>
    </xf>
    <xf numFmtId="43" fontId="16" fillId="12" borderId="27" xfId="23" applyFont="1" applyFill="1" applyBorder="1" applyAlignment="1">
      <alignment horizontal="right" vertical="center"/>
    </xf>
    <xf numFmtId="0" fontId="15" fillId="12" borderId="27" xfId="52" applyFont="1" applyFill="1" applyBorder="1" applyAlignment="1">
      <alignment vertical="center"/>
    </xf>
    <xf numFmtId="0" fontId="15" fillId="18" borderId="27" xfId="52" applyFont="1" applyFill="1" applyBorder="1" applyAlignment="1">
      <alignment horizontal="center" vertical="center"/>
    </xf>
    <xf numFmtId="175" fontId="16" fillId="18" borderId="27" xfId="10" applyNumberFormat="1" applyFont="1" applyFill="1" applyBorder="1" applyAlignment="1">
      <alignment horizontal="center"/>
    </xf>
    <xf numFmtId="43" fontId="15" fillId="18" borderId="27" xfId="23" applyFont="1" applyFill="1" applyBorder="1" applyAlignment="1">
      <alignment horizontal="right" vertical="center"/>
    </xf>
    <xf numFmtId="169" fontId="15" fillId="18" borderId="27" xfId="54" applyNumberFormat="1" applyFont="1" applyFill="1" applyBorder="1" applyAlignment="1">
      <alignment horizontal="center" vertical="center"/>
    </xf>
    <xf numFmtId="4" fontId="15" fillId="18" borderId="27" xfId="23" applyNumberFormat="1" applyFont="1" applyFill="1" applyBorder="1" applyAlignment="1">
      <alignment horizontal="right" vertical="center"/>
    </xf>
    <xf numFmtId="43" fontId="16" fillId="18" borderId="27" xfId="23" applyFont="1" applyFill="1" applyBorder="1" applyAlignment="1">
      <alignment horizontal="right" vertical="center"/>
    </xf>
    <xf numFmtId="0" fontId="15" fillId="18" borderId="27" xfId="52" applyFont="1" applyFill="1" applyBorder="1" applyAlignment="1">
      <alignment vertical="center"/>
    </xf>
    <xf numFmtId="0" fontId="16" fillId="20" borderId="27" xfId="52" applyFont="1" applyFill="1" applyBorder="1" applyAlignment="1">
      <alignment vertical="center"/>
    </xf>
    <xf numFmtId="0" fontId="15" fillId="17" borderId="27" xfId="52" applyFont="1" applyFill="1" applyBorder="1" applyAlignment="1">
      <alignment horizontal="left" vertical="center"/>
    </xf>
    <xf numFmtId="0" fontId="15" fillId="0" borderId="27" xfId="52" applyFont="1" applyBorder="1" applyAlignment="1">
      <alignment horizontal="left" vertical="center"/>
    </xf>
    <xf numFmtId="165" fontId="15" fillId="17" borderId="27" xfId="56" applyNumberFormat="1" applyFont="1" applyFill="1" applyBorder="1" applyAlignment="1">
      <alignment vertical="center"/>
    </xf>
    <xf numFmtId="165" fontId="15" fillId="17" borderId="27" xfId="54" applyFont="1" applyFill="1" applyBorder="1" applyAlignment="1">
      <alignment horizontal="center"/>
    </xf>
    <xf numFmtId="165" fontId="15" fillId="17" borderId="27" xfId="21" applyNumberFormat="1" applyFont="1" applyFill="1" applyBorder="1" applyAlignment="1">
      <alignment horizontal="center" vertical="center"/>
    </xf>
    <xf numFmtId="43" fontId="15" fillId="17" borderId="27" xfId="1" applyFont="1" applyFill="1" applyBorder="1" applyAlignment="1">
      <alignment horizontal="center"/>
    </xf>
    <xf numFmtId="165" fontId="23" fillId="17" borderId="27" xfId="52" applyNumberFormat="1" applyFont="1" applyFill="1" applyBorder="1" applyAlignment="1">
      <alignment horizontal="center" vertical="center"/>
    </xf>
    <xf numFmtId="0" fontId="15" fillId="2" borderId="27" xfId="52" applyFont="1" applyFill="1" applyBorder="1" applyAlignment="1">
      <alignment horizontal="center" vertical="center"/>
    </xf>
    <xf numFmtId="0" fontId="15" fillId="2" borderId="27" xfId="53" applyFont="1" applyFill="1" applyBorder="1" applyAlignment="1">
      <alignment horizontal="left" vertical="center"/>
    </xf>
    <xf numFmtId="165" fontId="15" fillId="2" borderId="27" xfId="54" applyFont="1" applyFill="1" applyBorder="1" applyAlignment="1">
      <alignment horizontal="center" vertical="center"/>
    </xf>
    <xf numFmtId="165" fontId="15" fillId="2" borderId="27" xfId="21" applyNumberFormat="1" applyFont="1" applyFill="1" applyBorder="1" applyAlignment="1">
      <alignment horizontal="center" vertical="center"/>
    </xf>
    <xf numFmtId="43" fontId="15" fillId="2" borderId="27" xfId="1" applyFont="1" applyFill="1" applyBorder="1" applyAlignment="1">
      <alignment horizontal="center"/>
    </xf>
    <xf numFmtId="165" fontId="15" fillId="2" borderId="27" xfId="57" applyFont="1" applyFill="1" applyBorder="1" applyAlignment="1">
      <alignment horizontal="right" vertical="center"/>
    </xf>
    <xf numFmtId="43" fontId="15" fillId="2" borderId="27" xfId="23" applyFont="1" applyFill="1" applyBorder="1" applyAlignment="1">
      <alignment horizontal="right" vertical="center"/>
    </xf>
    <xf numFmtId="165" fontId="23" fillId="2" borderId="27" xfId="52" applyNumberFormat="1" applyFont="1" applyFill="1" applyBorder="1" applyAlignment="1">
      <alignment horizontal="center" vertical="center"/>
    </xf>
    <xf numFmtId="0" fontId="16" fillId="12" borderId="27" xfId="53" applyFont="1" applyFill="1" applyBorder="1" applyAlignment="1">
      <alignment horizontal="center" vertical="center"/>
    </xf>
    <xf numFmtId="165" fontId="15" fillId="12" borderId="27" xfId="54" applyFont="1" applyFill="1" applyBorder="1" applyAlignment="1">
      <alignment horizontal="center" vertical="center"/>
    </xf>
    <xf numFmtId="165" fontId="15" fillId="12" borderId="27" xfId="21" applyNumberFormat="1" applyFont="1" applyFill="1" applyBorder="1" applyAlignment="1">
      <alignment horizontal="center" vertical="center"/>
    </xf>
    <xf numFmtId="165" fontId="15" fillId="12" borderId="27" xfId="57" applyFont="1" applyFill="1" applyBorder="1" applyAlignment="1">
      <alignment horizontal="right" vertical="center"/>
    </xf>
    <xf numFmtId="165" fontId="23" fillId="12" borderId="27" xfId="52" applyNumberFormat="1" applyFont="1" applyFill="1" applyBorder="1" applyAlignment="1">
      <alignment horizontal="center" vertical="center"/>
    </xf>
    <xf numFmtId="0" fontId="16" fillId="18" borderId="27" xfId="53" applyFont="1" applyFill="1" applyBorder="1" applyAlignment="1">
      <alignment horizontal="center" vertical="center"/>
    </xf>
    <xf numFmtId="165" fontId="15" fillId="18" borderId="27" xfId="54" applyFont="1" applyFill="1" applyBorder="1" applyAlignment="1">
      <alignment horizontal="center" vertical="center"/>
    </xf>
    <xf numFmtId="165" fontId="15" fillId="18" borderId="27" xfId="21" applyNumberFormat="1" applyFont="1" applyFill="1" applyBorder="1" applyAlignment="1">
      <alignment horizontal="center" vertical="center"/>
    </xf>
    <xf numFmtId="43" fontId="15" fillId="18" borderId="27" xfId="1" applyFont="1" applyFill="1" applyBorder="1" applyAlignment="1">
      <alignment horizontal="center"/>
    </xf>
    <xf numFmtId="165" fontId="15" fillId="18" borderId="27" xfId="57" applyFont="1" applyFill="1" applyBorder="1" applyAlignment="1">
      <alignment horizontal="right" vertical="center"/>
    </xf>
    <xf numFmtId="165" fontId="23" fillId="18" borderId="27" xfId="52" applyNumberFormat="1" applyFont="1" applyFill="1" applyBorder="1" applyAlignment="1">
      <alignment horizontal="center" vertical="center"/>
    </xf>
    <xf numFmtId="0" fontId="16" fillId="20" borderId="27" xfId="52" applyFont="1" applyFill="1" applyBorder="1" applyAlignment="1">
      <alignment horizontal="left" vertical="center"/>
    </xf>
    <xf numFmtId="43" fontId="15" fillId="20" borderId="27" xfId="58" applyNumberFormat="1" applyFont="1" applyFill="1" applyBorder="1" applyAlignment="1">
      <alignment vertical="center"/>
    </xf>
    <xf numFmtId="0" fontId="15" fillId="18" borderId="27" xfId="0" applyFont="1" applyFill="1" applyBorder="1" applyAlignment="1">
      <alignment horizontal="center"/>
    </xf>
    <xf numFmtId="0" fontId="16" fillId="18" borderId="27" xfId="22" applyFont="1" applyFill="1" applyBorder="1" applyAlignment="1">
      <alignment horizontal="center" vertical="center" wrapText="1"/>
    </xf>
    <xf numFmtId="43" fontId="15" fillId="18" borderId="27" xfId="21" applyFont="1" applyFill="1" applyBorder="1" applyAlignment="1">
      <alignment horizontal="center" vertical="center"/>
    </xf>
    <xf numFmtId="43" fontId="16" fillId="18" borderId="27" xfId="21" applyFont="1" applyFill="1" applyBorder="1" applyAlignment="1">
      <alignment horizontal="center" vertical="center"/>
    </xf>
    <xf numFmtId="49" fontId="16" fillId="22" borderId="27" xfId="3" applyNumberFormat="1" applyFont="1" applyFill="1" applyBorder="1"/>
    <xf numFmtId="43" fontId="15" fillId="22" borderId="27" xfId="1" applyFont="1" applyFill="1" applyBorder="1" applyAlignment="1">
      <alignment horizontal="center"/>
    </xf>
    <xf numFmtId="43" fontId="15" fillId="22" borderId="27" xfId="21" applyFont="1" applyFill="1" applyBorder="1" applyAlignment="1">
      <alignment horizontal="center" vertical="center"/>
    </xf>
    <xf numFmtId="165" fontId="16" fillId="20" borderId="27" xfId="54" applyFont="1" applyFill="1" applyBorder="1" applyAlignment="1">
      <alignment horizontal="center" vertical="center"/>
    </xf>
    <xf numFmtId="165" fontId="16" fillId="20" borderId="27" xfId="55" applyNumberFormat="1" applyFont="1" applyFill="1" applyBorder="1" applyAlignment="1">
      <alignment horizontal="center" vertical="center"/>
    </xf>
    <xf numFmtId="165" fontId="16" fillId="20" borderId="27" xfId="55" applyNumberFormat="1" applyFont="1" applyFill="1" applyBorder="1" applyAlignment="1">
      <alignment horizontal="right" vertical="center"/>
    </xf>
    <xf numFmtId="169" fontId="16" fillId="20" borderId="27" xfId="55" applyNumberFormat="1" applyFont="1" applyFill="1" applyBorder="1" applyAlignment="1">
      <alignment horizontal="center" vertical="center"/>
    </xf>
    <xf numFmtId="165" fontId="16" fillId="17" borderId="27" xfId="54" applyFont="1" applyFill="1" applyBorder="1" applyAlignment="1">
      <alignment horizontal="center" vertical="center"/>
    </xf>
    <xf numFmtId="165" fontId="16" fillId="17" borderId="27" xfId="55" applyNumberFormat="1" applyFont="1" applyFill="1" applyBorder="1" applyAlignment="1">
      <alignment horizontal="center" vertical="center"/>
    </xf>
    <xf numFmtId="165" fontId="16" fillId="17" borderId="27" xfId="55" applyNumberFormat="1" applyFont="1" applyFill="1" applyBorder="1" applyAlignment="1">
      <alignment horizontal="right" vertical="center"/>
    </xf>
    <xf numFmtId="169" fontId="16" fillId="17" borderId="27" xfId="55" applyNumberFormat="1" applyFont="1" applyFill="1" applyBorder="1" applyAlignment="1">
      <alignment horizontal="center" vertical="center"/>
    </xf>
    <xf numFmtId="2" fontId="15" fillId="0" borderId="27" xfId="23" applyNumberFormat="1" applyFont="1" applyFill="1" applyBorder="1" applyAlignment="1">
      <alignment horizontal="right" vertical="center"/>
    </xf>
    <xf numFmtId="169" fontId="15" fillId="0" borderId="27" xfId="21" applyNumberFormat="1" applyFont="1" applyFill="1" applyBorder="1" applyAlignment="1">
      <alignment horizontal="center" vertical="center"/>
    </xf>
    <xf numFmtId="165" fontId="15" fillId="0" borderId="27" xfId="54" applyFont="1" applyFill="1" applyBorder="1" applyAlignment="1">
      <alignment horizontal="center"/>
    </xf>
    <xf numFmtId="0" fontId="16" fillId="12" borderId="27" xfId="52" applyFont="1" applyFill="1" applyBorder="1" applyAlignment="1">
      <alignment horizontal="center" vertical="center"/>
    </xf>
    <xf numFmtId="2" fontId="15" fillId="12" borderId="27" xfId="23" applyNumberFormat="1" applyFont="1" applyFill="1" applyBorder="1" applyAlignment="1">
      <alignment horizontal="right" vertical="center"/>
    </xf>
    <xf numFmtId="169" fontId="15" fillId="12" borderId="27" xfId="21" applyNumberFormat="1" applyFont="1" applyFill="1" applyBorder="1" applyAlignment="1">
      <alignment horizontal="center" vertical="center"/>
    </xf>
    <xf numFmtId="165" fontId="15" fillId="12" borderId="27" xfId="54" applyFont="1" applyFill="1" applyBorder="1" applyAlignment="1">
      <alignment horizontal="center"/>
    </xf>
    <xf numFmtId="165" fontId="15" fillId="12" borderId="27" xfId="55" applyNumberFormat="1" applyFont="1" applyFill="1" applyBorder="1" applyAlignment="1">
      <alignment horizontal="center" vertical="center"/>
    </xf>
    <xf numFmtId="165" fontId="15" fillId="0" borderId="27" xfId="21" applyNumberFormat="1" applyFont="1" applyFill="1" applyBorder="1" applyAlignment="1">
      <alignment horizontal="center" vertical="center"/>
    </xf>
    <xf numFmtId="0" fontId="16" fillId="18" borderId="27" xfId="52" applyFont="1" applyFill="1" applyBorder="1" applyAlignment="1">
      <alignment horizontal="center" vertical="center"/>
    </xf>
    <xf numFmtId="165" fontId="15" fillId="18" borderId="27" xfId="54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165" fontId="15" fillId="0" borderId="27" xfId="1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vertical="center"/>
    </xf>
    <xf numFmtId="43" fontId="15" fillId="0" borderId="27" xfId="1" applyFont="1" applyBorder="1" applyAlignment="1">
      <alignment horizontal="center" vertical="center"/>
    </xf>
    <xf numFmtId="165" fontId="15" fillId="17" borderId="27" xfId="23" applyNumberFormat="1" applyFont="1" applyFill="1" applyBorder="1" applyAlignment="1">
      <alignment horizontal="right" vertical="center"/>
    </xf>
    <xf numFmtId="165" fontId="15" fillId="0" borderId="27" xfId="23" applyNumberFormat="1" applyFont="1" applyFill="1" applyBorder="1" applyAlignment="1">
      <alignment horizontal="right" vertical="center"/>
    </xf>
    <xf numFmtId="0" fontId="15" fillId="0" borderId="27" xfId="59" applyFont="1" applyBorder="1"/>
    <xf numFmtId="165" fontId="15" fillId="0" borderId="27" xfId="48" applyFont="1" applyBorder="1" applyAlignment="1">
      <alignment horizontal="center" vertical="center"/>
    </xf>
    <xf numFmtId="176" fontId="15" fillId="0" borderId="27" xfId="59" applyNumberFormat="1" applyFont="1" applyBorder="1" applyAlignment="1">
      <alignment horizontal="center" vertical="center"/>
    </xf>
    <xf numFmtId="175" fontId="15" fillId="0" borderId="27" xfId="10" applyNumberFormat="1" applyFont="1" applyBorder="1" applyAlignment="1">
      <alignment horizontal="left"/>
    </xf>
    <xf numFmtId="0" fontId="16" fillId="20" borderId="27" xfId="22" applyFont="1" applyFill="1" applyBorder="1" applyAlignment="1">
      <alignment horizontal="center" vertical="center"/>
    </xf>
    <xf numFmtId="0" fontId="16" fillId="20" borderId="27" xfId="0" applyFont="1" applyFill="1" applyBorder="1" applyAlignment="1">
      <alignment horizontal="left"/>
    </xf>
    <xf numFmtId="43" fontId="15" fillId="20" borderId="27" xfId="1" applyFont="1" applyFill="1" applyBorder="1" applyAlignment="1">
      <alignment horizontal="center" vertical="center"/>
    </xf>
    <xf numFmtId="169" fontId="15" fillId="20" borderId="27" xfId="21" applyNumberFormat="1" applyFont="1" applyFill="1" applyBorder="1" applyAlignment="1">
      <alignment horizontal="center" vertical="center"/>
    </xf>
    <xf numFmtId="43" fontId="15" fillId="20" borderId="27" xfId="1" applyFont="1" applyFill="1" applyBorder="1" applyAlignment="1">
      <alignment vertical="center"/>
    </xf>
    <xf numFmtId="43" fontId="15" fillId="20" borderId="27" xfId="1" applyFont="1" applyFill="1" applyBorder="1"/>
    <xf numFmtId="43" fontId="15" fillId="20" borderId="27" xfId="0" applyNumberFormat="1" applyFont="1" applyFill="1" applyBorder="1" applyAlignment="1">
      <alignment horizontal="center"/>
    </xf>
    <xf numFmtId="0" fontId="16" fillId="17" borderId="27" xfId="22" applyFont="1" applyFill="1" applyBorder="1" applyAlignment="1">
      <alignment horizontal="center" vertical="center"/>
    </xf>
    <xf numFmtId="0" fontId="36" fillId="17" borderId="27" xfId="0" applyFont="1" applyFill="1" applyBorder="1" applyAlignment="1">
      <alignment horizontal="left"/>
    </xf>
    <xf numFmtId="43" fontId="37" fillId="17" borderId="27" xfId="1" applyFont="1" applyFill="1" applyBorder="1" applyAlignment="1">
      <alignment horizontal="center" vertical="center"/>
    </xf>
    <xf numFmtId="169" fontId="37" fillId="17" borderId="27" xfId="21" applyNumberFormat="1" applyFont="1" applyFill="1" applyBorder="1" applyAlignment="1">
      <alignment horizontal="center" vertical="center"/>
    </xf>
    <xf numFmtId="43" fontId="37" fillId="17" borderId="27" xfId="23" applyFont="1" applyFill="1" applyBorder="1" applyAlignment="1">
      <alignment horizontal="right" vertical="center"/>
    </xf>
    <xf numFmtId="43" fontId="37" fillId="17" borderId="27" xfId="1" applyFont="1" applyFill="1" applyBorder="1" applyAlignment="1">
      <alignment vertical="center"/>
    </xf>
    <xf numFmtId="43" fontId="37" fillId="17" borderId="27" xfId="1" applyFont="1" applyFill="1" applyBorder="1"/>
    <xf numFmtId="0" fontId="37" fillId="0" borderId="27" xfId="12" quotePrefix="1" applyFont="1" applyBorder="1" applyAlignment="1">
      <alignment horizontal="left"/>
    </xf>
    <xf numFmtId="0" fontId="15" fillId="12" borderId="27" xfId="22" applyFont="1" applyFill="1" applyBorder="1" applyAlignment="1">
      <alignment horizontal="center" vertical="center"/>
    </xf>
    <xf numFmtId="43" fontId="37" fillId="12" borderId="27" xfId="1" applyFont="1" applyFill="1" applyBorder="1" applyAlignment="1">
      <alignment horizontal="center" vertical="center"/>
    </xf>
    <xf numFmtId="169" fontId="37" fillId="12" borderId="27" xfId="21" applyNumberFormat="1" applyFont="1" applyFill="1" applyBorder="1" applyAlignment="1">
      <alignment horizontal="center" vertical="center"/>
    </xf>
    <xf numFmtId="43" fontId="37" fillId="12" borderId="27" xfId="21" applyFont="1" applyFill="1" applyBorder="1" applyAlignment="1">
      <alignment horizontal="center" vertical="center"/>
    </xf>
    <xf numFmtId="43" fontId="16" fillId="12" borderId="27" xfId="1" applyFont="1" applyFill="1" applyBorder="1" applyAlignment="1">
      <alignment horizontal="center"/>
    </xf>
    <xf numFmtId="43" fontId="37" fillId="17" borderId="27" xfId="21" applyFont="1" applyFill="1" applyBorder="1" applyAlignment="1">
      <alignment horizontal="center" vertical="center"/>
    </xf>
    <xf numFmtId="43" fontId="37" fillId="17" borderId="27" xfId="1" applyFont="1" applyFill="1" applyBorder="1" applyAlignment="1">
      <alignment horizontal="center"/>
    </xf>
    <xf numFmtId="0" fontId="37" fillId="0" borderId="27" xfId="22" applyFont="1" applyBorder="1" applyAlignment="1">
      <alignment vertical="center"/>
    </xf>
    <xf numFmtId="43" fontId="15" fillId="0" borderId="27" xfId="12" applyNumberFormat="1" applyFont="1" applyBorder="1"/>
    <xf numFmtId="0" fontId="16" fillId="17" borderId="27" xfId="22" applyFont="1" applyFill="1" applyBorder="1" applyAlignment="1">
      <alignment vertical="center"/>
    </xf>
    <xf numFmtId="0" fontId="15" fillId="17" borderId="27" xfId="12" applyFont="1" applyFill="1" applyBorder="1"/>
    <xf numFmtId="0" fontId="37" fillId="0" borderId="27" xfId="12" applyFont="1" applyBorder="1" applyAlignment="1">
      <alignment horizontal="left" vertical="center"/>
    </xf>
    <xf numFmtId="165" fontId="37" fillId="0" borderId="27" xfId="61" applyFont="1" applyFill="1" applyBorder="1" applyAlignment="1">
      <alignment horizontal="center" vertical="center"/>
    </xf>
    <xf numFmtId="0" fontId="16" fillId="12" borderId="27" xfId="12" applyFont="1" applyFill="1" applyBorder="1" applyAlignment="1">
      <alignment horizontal="center" vertical="center"/>
    </xf>
    <xf numFmtId="165" fontId="37" fillId="12" borderId="27" xfId="61" applyFont="1" applyFill="1" applyBorder="1" applyAlignment="1">
      <alignment horizontal="center" vertical="center"/>
    </xf>
    <xf numFmtId="43" fontId="16" fillId="12" borderId="27" xfId="21" applyFont="1" applyFill="1" applyBorder="1" applyAlignment="1">
      <alignment horizontal="center" vertical="center"/>
    </xf>
    <xf numFmtId="0" fontId="15" fillId="12" borderId="27" xfId="12" applyFont="1" applyFill="1" applyBorder="1"/>
    <xf numFmtId="0" fontId="16" fillId="17" borderId="27" xfId="12" quotePrefix="1" applyFont="1" applyFill="1" applyBorder="1" applyAlignment="1">
      <alignment horizontal="left"/>
    </xf>
    <xf numFmtId="0" fontId="37" fillId="0" borderId="27" xfId="22" quotePrefix="1" applyFont="1" applyBorder="1" applyAlignment="1">
      <alignment horizontal="left" vertical="center"/>
    </xf>
    <xf numFmtId="0" fontId="15" fillId="18" borderId="27" xfId="22" applyFont="1" applyFill="1" applyBorder="1" applyAlignment="1">
      <alignment horizontal="center" vertical="center"/>
    </xf>
    <xf numFmtId="0" fontId="16" fillId="18" borderId="27" xfId="22" quotePrefix="1" applyFont="1" applyFill="1" applyBorder="1" applyAlignment="1">
      <alignment horizontal="center" vertical="center" wrapText="1"/>
    </xf>
    <xf numFmtId="43" fontId="37" fillId="18" borderId="27" xfId="1" applyFont="1" applyFill="1" applyBorder="1" applyAlignment="1">
      <alignment horizontal="center" vertical="center"/>
    </xf>
    <xf numFmtId="0" fontId="37" fillId="18" borderId="27" xfId="33" applyFont="1" applyFill="1" applyBorder="1" applyAlignment="1">
      <alignment horizontal="center" vertical="center"/>
    </xf>
    <xf numFmtId="43" fontId="37" fillId="18" borderId="27" xfId="1" applyFont="1" applyFill="1" applyBorder="1" applyAlignment="1">
      <alignment horizontal="center"/>
    </xf>
    <xf numFmtId="43" fontId="16" fillId="18" borderId="27" xfId="1" applyFont="1" applyFill="1" applyBorder="1" applyAlignment="1">
      <alignment horizontal="center"/>
    </xf>
    <xf numFmtId="0" fontId="15" fillId="18" borderId="27" xfId="12" applyFont="1" applyFill="1" applyBorder="1"/>
    <xf numFmtId="0" fontId="36" fillId="20" borderId="27" xfId="22" applyFont="1" applyFill="1" applyBorder="1" applyAlignment="1">
      <alignment horizontal="left" vertical="center"/>
    </xf>
    <xf numFmtId="4" fontId="37" fillId="20" borderId="27" xfId="21" applyNumberFormat="1" applyFont="1" applyFill="1" applyBorder="1" applyAlignment="1">
      <alignment horizontal="center" vertical="center"/>
    </xf>
    <xf numFmtId="169" fontId="37" fillId="20" borderId="27" xfId="21" applyNumberFormat="1" applyFont="1" applyFill="1" applyBorder="1" applyAlignment="1">
      <alignment horizontal="center" vertical="center"/>
    </xf>
    <xf numFmtId="43" fontId="37" fillId="20" borderId="27" xfId="21" applyFont="1" applyFill="1" applyBorder="1" applyAlignment="1">
      <alignment horizontal="center" vertical="center"/>
    </xf>
    <xf numFmtId="0" fontId="15" fillId="20" borderId="27" xfId="12" applyFont="1" applyFill="1" applyBorder="1"/>
    <xf numFmtId="0" fontId="37" fillId="0" borderId="27" xfId="22" applyFont="1" applyBorder="1" applyAlignment="1">
      <alignment horizontal="left" vertical="center" wrapText="1"/>
    </xf>
    <xf numFmtId="43" fontId="37" fillId="0" borderId="27" xfId="1" applyFont="1" applyFill="1" applyBorder="1" applyAlignment="1">
      <alignment horizontal="center" vertical="top"/>
    </xf>
    <xf numFmtId="41" fontId="37" fillId="0" borderId="27" xfId="34" applyFont="1" applyBorder="1" applyAlignment="1">
      <alignment horizontal="center" vertical="top"/>
    </xf>
    <xf numFmtId="172" fontId="37" fillId="0" borderId="27" xfId="34" applyNumberFormat="1" applyFont="1" applyBorder="1" applyAlignment="1">
      <alignment horizontal="center" vertical="top"/>
    </xf>
    <xf numFmtId="43" fontId="37" fillId="0" borderId="27" xfId="21" applyFont="1" applyFill="1" applyBorder="1" applyAlignment="1">
      <alignment horizontal="center" vertical="top"/>
    </xf>
    <xf numFmtId="0" fontId="37" fillId="0" borderId="27" xfId="22" applyFont="1" applyBorder="1" applyAlignment="1">
      <alignment horizontal="left" vertical="center"/>
    </xf>
    <xf numFmtId="41" fontId="37" fillId="0" borderId="27" xfId="34" applyFont="1" applyBorder="1" applyAlignment="1">
      <alignment horizontal="center"/>
    </xf>
    <xf numFmtId="172" fontId="37" fillId="0" borderId="27" xfId="34" applyNumberFormat="1" applyFont="1" applyBorder="1" applyAlignment="1">
      <alignment horizontal="center"/>
    </xf>
    <xf numFmtId="169" fontId="37" fillId="18" borderId="27" xfId="21" applyNumberFormat="1" applyFont="1" applyFill="1" applyBorder="1" applyAlignment="1">
      <alignment horizontal="center" vertical="center"/>
    </xf>
    <xf numFmtId="43" fontId="37" fillId="18" borderId="27" xfId="21" applyFont="1" applyFill="1" applyBorder="1" applyAlignment="1">
      <alignment horizontal="center" vertical="center"/>
    </xf>
    <xf numFmtId="0" fontId="37" fillId="0" borderId="27" xfId="35" quotePrefix="1" applyFont="1" applyBorder="1" applyAlignment="1">
      <alignment wrapText="1"/>
    </xf>
    <xf numFmtId="0" fontId="36" fillId="20" borderId="27" xfId="22" applyFont="1" applyFill="1" applyBorder="1" applyAlignment="1">
      <alignment horizontal="left" vertical="center" wrapText="1"/>
    </xf>
    <xf numFmtId="0" fontId="15" fillId="20" borderId="27" xfId="22" applyFont="1" applyFill="1" applyBorder="1" applyAlignment="1">
      <alignment horizontal="center" vertical="center"/>
    </xf>
    <xf numFmtId="43" fontId="37" fillId="20" borderId="27" xfId="1" applyFont="1" applyFill="1" applyBorder="1" applyAlignment="1">
      <alignment horizontal="center" vertical="center"/>
    </xf>
    <xf numFmtId="0" fontId="36" fillId="17" borderId="27" xfId="22" quotePrefix="1" applyFont="1" applyFill="1" applyBorder="1" applyAlignment="1">
      <alignment horizontal="left" vertical="center" wrapText="1"/>
    </xf>
    <xf numFmtId="0" fontId="36" fillId="12" borderId="27" xfId="22" quotePrefix="1" applyFont="1" applyFill="1" applyBorder="1" applyAlignment="1">
      <alignment horizontal="center" vertical="center" wrapText="1"/>
    </xf>
    <xf numFmtId="0" fontId="36" fillId="17" borderId="27" xfId="22" applyFont="1" applyFill="1" applyBorder="1" applyAlignment="1">
      <alignment horizontal="left" vertical="center" wrapText="1"/>
    </xf>
    <xf numFmtId="0" fontId="16" fillId="18" borderId="27" xfId="22" quotePrefix="1" applyFont="1" applyFill="1" applyBorder="1" applyAlignment="1">
      <alignment horizontal="left" vertical="center" wrapText="1"/>
    </xf>
    <xf numFmtId="0" fontId="37" fillId="0" borderId="27" xfId="22" applyFont="1" applyBorder="1" applyAlignment="1">
      <alignment horizontal="center" vertical="center"/>
    </xf>
    <xf numFmtId="43" fontId="37" fillId="0" borderId="27" xfId="12" applyNumberFormat="1" applyFont="1" applyBorder="1"/>
    <xf numFmtId="3" fontId="37" fillId="0" borderId="27" xfId="33" applyNumberFormat="1" applyFont="1" applyBorder="1" applyAlignment="1">
      <alignment horizontal="center" vertical="center"/>
    </xf>
    <xf numFmtId="0" fontId="16" fillId="18" borderId="27" xfId="22" applyFont="1" applyFill="1" applyBorder="1" applyAlignment="1">
      <alignment horizontal="center" vertical="center"/>
    </xf>
    <xf numFmtId="0" fontId="16" fillId="18" borderId="27" xfId="22" quotePrefix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center" vertical="top"/>
    </xf>
    <xf numFmtId="0" fontId="15" fillId="2" borderId="27" xfId="0" applyFont="1" applyFill="1" applyBorder="1"/>
    <xf numFmtId="0" fontId="16" fillId="16" borderId="27" xfId="0" applyFont="1" applyFill="1" applyBorder="1" applyAlignment="1">
      <alignment horizontal="center"/>
    </xf>
    <xf numFmtId="0" fontId="15" fillId="16" borderId="27" xfId="0" applyFont="1" applyFill="1" applyBorder="1" applyAlignment="1">
      <alignment horizontal="center" vertical="top"/>
    </xf>
    <xf numFmtId="0" fontId="15" fillId="16" borderId="27" xfId="0" applyFont="1" applyFill="1" applyBorder="1"/>
    <xf numFmtId="0" fontId="16" fillId="20" borderId="27" xfId="10" applyFont="1" applyFill="1" applyBorder="1" applyAlignment="1">
      <alignment horizontal="center" vertical="center"/>
    </xf>
    <xf numFmtId="0" fontId="16" fillId="20" borderId="27" xfId="0" applyFont="1" applyFill="1" applyBorder="1"/>
    <xf numFmtId="43" fontId="15" fillId="20" borderId="27" xfId="29" applyFont="1" applyFill="1" applyBorder="1" applyAlignment="1">
      <alignment horizontal="center"/>
    </xf>
    <xf numFmtId="0" fontId="15" fillId="20" borderId="27" xfId="10" applyFont="1" applyFill="1" applyBorder="1" applyAlignment="1">
      <alignment horizontal="center"/>
    </xf>
    <xf numFmtId="165" fontId="15" fillId="20" borderId="27" xfId="48" applyFont="1" applyFill="1" applyBorder="1" applyAlignment="1">
      <alignment horizontal="center"/>
    </xf>
    <xf numFmtId="165" fontId="15" fillId="20" borderId="27" xfId="10" applyNumberFormat="1" applyFont="1" applyFill="1" applyBorder="1" applyAlignment="1">
      <alignment horizontal="center"/>
    </xf>
    <xf numFmtId="0" fontId="15" fillId="17" borderId="27" xfId="10" applyFont="1" applyFill="1" applyBorder="1" applyAlignment="1">
      <alignment horizontal="center" vertical="center"/>
    </xf>
    <xf numFmtId="0" fontId="15" fillId="17" borderId="27" xfId="35" quotePrefix="1" applyFont="1" applyFill="1" applyBorder="1" applyAlignment="1">
      <alignment vertical="center"/>
    </xf>
    <xf numFmtId="43" fontId="15" fillId="17" borderId="27" xfId="23" applyFont="1" applyFill="1" applyBorder="1" applyAlignment="1">
      <alignment vertical="center"/>
    </xf>
    <xf numFmtId="43" fontId="15" fillId="17" borderId="27" xfId="1" applyFont="1" applyFill="1" applyBorder="1" applyAlignment="1">
      <alignment horizontal="right" vertical="center"/>
    </xf>
    <xf numFmtId="43" fontId="15" fillId="17" borderId="27" xfId="1" applyFont="1" applyFill="1" applyBorder="1"/>
    <xf numFmtId="0" fontId="15" fillId="17" borderId="27" xfId="0" applyFont="1" applyFill="1" applyBorder="1" applyAlignment="1">
      <alignment horizontal="center"/>
    </xf>
    <xf numFmtId="0" fontId="15" fillId="2" borderId="27" xfId="10" applyFont="1" applyFill="1" applyBorder="1" applyAlignment="1">
      <alignment horizontal="center" vertical="center"/>
    </xf>
    <xf numFmtId="0" fontId="15" fillId="2" borderId="27" xfId="35" quotePrefix="1" applyFont="1" applyFill="1" applyBorder="1" applyAlignment="1">
      <alignment vertical="center"/>
    </xf>
    <xf numFmtId="43" fontId="15" fillId="2" borderId="27" xfId="1" applyFont="1" applyFill="1" applyBorder="1" applyAlignment="1">
      <alignment horizontal="right" vertical="center"/>
    </xf>
    <xf numFmtId="0" fontId="15" fillId="2" borderId="27" xfId="35" quotePrefix="1" applyFont="1" applyFill="1" applyBorder="1" applyAlignment="1">
      <alignment vertical="center" wrapText="1"/>
    </xf>
    <xf numFmtId="43" fontId="15" fillId="2" borderId="27" xfId="1" applyFont="1" applyFill="1" applyBorder="1" applyAlignment="1">
      <alignment horizontal="right" vertical="top"/>
    </xf>
    <xf numFmtId="0" fontId="15" fillId="2" borderId="27" xfId="53" applyFont="1" applyFill="1" applyBorder="1" applyAlignment="1">
      <alignment horizontal="left"/>
    </xf>
    <xf numFmtId="165" fontId="15" fillId="2" borderId="27" xfId="55" applyNumberFormat="1" applyFont="1" applyFill="1" applyBorder="1" applyAlignment="1">
      <alignment horizontal="center" vertical="center"/>
    </xf>
    <xf numFmtId="165" fontId="15" fillId="2" borderId="27" xfId="60" applyNumberFormat="1" applyFont="1" applyFill="1" applyBorder="1" applyAlignment="1"/>
    <xf numFmtId="169" fontId="15" fillId="2" borderId="27" xfId="57" applyNumberFormat="1" applyFont="1" applyFill="1" applyBorder="1" applyAlignment="1">
      <alignment horizontal="left" vertical="center"/>
    </xf>
    <xf numFmtId="165" fontId="15" fillId="2" borderId="27" xfId="52" applyNumberFormat="1" applyFont="1" applyFill="1" applyBorder="1" applyAlignment="1">
      <alignment vertical="center"/>
    </xf>
    <xf numFmtId="0" fontId="15" fillId="17" borderId="27" xfId="22" applyFont="1" applyFill="1" applyBorder="1" applyAlignment="1">
      <alignment horizontal="left" vertical="center" wrapText="1"/>
    </xf>
    <xf numFmtId="165" fontId="15" fillId="17" borderId="27" xfId="60" applyNumberFormat="1" applyFont="1" applyFill="1" applyBorder="1" applyAlignment="1"/>
    <xf numFmtId="0" fontId="15" fillId="17" borderId="27" xfId="22" applyFont="1" applyFill="1" applyBorder="1" applyAlignment="1">
      <alignment vertical="center"/>
    </xf>
    <xf numFmtId="169" fontId="15" fillId="17" borderId="27" xfId="21" applyNumberFormat="1" applyFont="1" applyFill="1" applyBorder="1" applyAlignment="1">
      <alignment horizontal="center" vertical="center"/>
    </xf>
    <xf numFmtId="0" fontId="15" fillId="2" borderId="27" xfId="22" applyFont="1" applyFill="1" applyBorder="1" applyAlignment="1">
      <alignment horizontal="left" vertical="center" wrapText="1"/>
    </xf>
    <xf numFmtId="169" fontId="15" fillId="2" borderId="27" xfId="21" applyNumberFormat="1" applyFont="1" applyFill="1" applyBorder="1" applyAlignment="1">
      <alignment horizontal="center" vertical="center"/>
    </xf>
    <xf numFmtId="0" fontId="15" fillId="2" borderId="27" xfId="12" applyFont="1" applyFill="1" applyBorder="1"/>
    <xf numFmtId="175" fontId="15" fillId="2" borderId="27" xfId="10" applyNumberFormat="1" applyFont="1" applyFill="1" applyBorder="1" applyAlignment="1">
      <alignment horizontal="left"/>
    </xf>
    <xf numFmtId="0" fontId="15" fillId="2" borderId="27" xfId="22" applyFont="1" applyFill="1" applyBorder="1" applyAlignment="1">
      <alignment vertical="center"/>
    </xf>
    <xf numFmtId="165" fontId="15" fillId="17" borderId="27" xfId="12" applyNumberFormat="1" applyFont="1" applyFill="1" applyBorder="1"/>
    <xf numFmtId="0" fontId="15" fillId="17" borderId="27" xfId="10" applyFont="1" applyFill="1" applyBorder="1" applyAlignment="1">
      <alignment horizontal="center"/>
    </xf>
    <xf numFmtId="0" fontId="15" fillId="2" borderId="27" xfId="10" applyFont="1" applyFill="1" applyBorder="1" applyAlignment="1">
      <alignment horizontal="center"/>
    </xf>
    <xf numFmtId="1" fontId="15" fillId="17" borderId="27" xfId="10" applyNumberFormat="1" applyFont="1" applyFill="1" applyBorder="1" applyAlignment="1">
      <alignment horizontal="center" vertical="center"/>
    </xf>
    <xf numFmtId="0" fontId="15" fillId="17" borderId="27" xfId="22" applyFont="1" applyFill="1" applyBorder="1" applyAlignment="1">
      <alignment horizontal="left" vertical="top" wrapText="1"/>
    </xf>
    <xf numFmtId="165" fontId="15" fillId="17" borderId="27" xfId="61" applyFont="1" applyFill="1" applyBorder="1" applyAlignment="1">
      <alignment horizontal="right" vertical="top"/>
    </xf>
    <xf numFmtId="169" fontId="15" fillId="17" borderId="27" xfId="21" applyNumberFormat="1" applyFont="1" applyFill="1" applyBorder="1" applyAlignment="1">
      <alignment horizontal="center" vertical="top"/>
    </xf>
    <xf numFmtId="165" fontId="15" fillId="17" borderId="27" xfId="61" applyFont="1" applyFill="1" applyBorder="1" applyAlignment="1">
      <alignment horizontal="center" vertical="top"/>
    </xf>
    <xf numFmtId="0" fontId="15" fillId="17" borderId="27" xfId="10" applyFont="1" applyFill="1" applyBorder="1" applyAlignment="1">
      <alignment horizontal="center" vertical="top"/>
    </xf>
    <xf numFmtId="0" fontId="15" fillId="0" borderId="27" xfId="10" applyFont="1" applyBorder="1" applyAlignment="1">
      <alignment horizontal="center" vertical="center"/>
    </xf>
    <xf numFmtId="0" fontId="15" fillId="0" borderId="27" xfId="22" applyFont="1" applyBorder="1" applyAlignment="1">
      <alignment horizontal="left" vertical="top" wrapText="1"/>
    </xf>
    <xf numFmtId="165" fontId="15" fillId="0" borderId="27" xfId="61" applyFont="1" applyFill="1" applyBorder="1" applyAlignment="1">
      <alignment horizontal="right" vertical="top"/>
    </xf>
    <xf numFmtId="169" fontId="15" fillId="0" borderId="27" xfId="21" applyNumberFormat="1" applyFont="1" applyFill="1" applyBorder="1" applyAlignment="1">
      <alignment horizontal="center" vertical="top"/>
    </xf>
    <xf numFmtId="165" fontId="15" fillId="0" borderId="27" xfId="61" applyFont="1" applyFill="1" applyBorder="1" applyAlignment="1">
      <alignment horizontal="center" vertical="top"/>
    </xf>
    <xf numFmtId="0" fontId="15" fillId="0" borderId="27" xfId="10" applyFont="1" applyBorder="1" applyAlignment="1">
      <alignment horizontal="center" vertical="top"/>
    </xf>
    <xf numFmtId="0" fontId="15" fillId="18" borderId="27" xfId="10" applyFont="1" applyFill="1" applyBorder="1" applyAlignment="1">
      <alignment horizontal="center" vertical="center"/>
    </xf>
    <xf numFmtId="0" fontId="16" fillId="18" borderId="27" xfId="22" applyFont="1" applyFill="1" applyBorder="1" applyAlignment="1">
      <alignment horizontal="center" vertical="top" wrapText="1"/>
    </xf>
    <xf numFmtId="165" fontId="15" fillId="18" borderId="27" xfId="61" applyFont="1" applyFill="1" applyBorder="1" applyAlignment="1">
      <alignment horizontal="right" vertical="top"/>
    </xf>
    <xf numFmtId="169" fontId="15" fillId="18" borderId="27" xfId="21" applyNumberFormat="1" applyFont="1" applyFill="1" applyBorder="1" applyAlignment="1">
      <alignment horizontal="center" vertical="top"/>
    </xf>
    <xf numFmtId="165" fontId="15" fillId="18" borderId="27" xfId="61" applyFont="1" applyFill="1" applyBorder="1" applyAlignment="1">
      <alignment horizontal="center" vertical="top"/>
    </xf>
    <xf numFmtId="165" fontId="16" fillId="18" borderId="27" xfId="61" applyFont="1" applyFill="1" applyBorder="1" applyAlignment="1">
      <alignment horizontal="center" vertical="top"/>
    </xf>
    <xf numFmtId="0" fontId="15" fillId="18" borderId="27" xfId="10" applyFont="1" applyFill="1" applyBorder="1" applyAlignment="1">
      <alignment horizontal="center" vertical="top"/>
    </xf>
    <xf numFmtId="0" fontId="15" fillId="17" borderId="27" xfId="10" quotePrefix="1" applyFont="1" applyFill="1" applyBorder="1" applyAlignment="1">
      <alignment horizontal="center" vertical="center"/>
    </xf>
    <xf numFmtId="0" fontId="15" fillId="17" borderId="27" xfId="53" applyFont="1" applyFill="1" applyBorder="1" applyAlignment="1">
      <alignment horizontal="left"/>
    </xf>
    <xf numFmtId="0" fontId="15" fillId="17" borderId="27" xfId="62" applyFont="1" applyFill="1" applyBorder="1" applyAlignment="1">
      <alignment horizontal="center"/>
    </xf>
    <xf numFmtId="165" fontId="15" fillId="17" borderId="27" xfId="63" applyFont="1" applyFill="1" applyBorder="1" applyAlignment="1">
      <alignment horizontal="center"/>
    </xf>
    <xf numFmtId="169" fontId="15" fillId="17" borderId="27" xfId="57" applyNumberFormat="1" applyFont="1" applyFill="1" applyBorder="1" applyAlignment="1">
      <alignment horizontal="left" vertical="center"/>
    </xf>
    <xf numFmtId="0" fontId="15" fillId="2" borderId="27" xfId="10" quotePrefix="1" applyFont="1" applyFill="1" applyBorder="1" applyAlignment="1">
      <alignment horizontal="center" vertical="center"/>
    </xf>
    <xf numFmtId="0" fontId="15" fillId="2" borderId="27" xfId="62" applyFont="1" applyFill="1" applyBorder="1" applyAlignment="1">
      <alignment horizontal="center"/>
    </xf>
    <xf numFmtId="43" fontId="15" fillId="2" borderId="27" xfId="23" applyFont="1" applyFill="1" applyBorder="1" applyAlignment="1">
      <alignment vertical="center"/>
    </xf>
    <xf numFmtId="165" fontId="15" fillId="2" borderId="27" xfId="60" applyNumberFormat="1" applyFont="1" applyFill="1" applyBorder="1" applyAlignment="1">
      <alignment horizontal="right" vertical="center"/>
    </xf>
    <xf numFmtId="43" fontId="15" fillId="2" borderId="27" xfId="23" applyFont="1" applyFill="1" applyBorder="1" applyAlignment="1">
      <alignment horizontal="center" vertical="center"/>
    </xf>
    <xf numFmtId="169" fontId="15" fillId="2" borderId="27" xfId="21" applyNumberFormat="1" applyFont="1" applyFill="1" applyBorder="1" applyAlignment="1">
      <alignment vertical="center"/>
    </xf>
    <xf numFmtId="165" fontId="15" fillId="2" borderId="27" xfId="63" applyFont="1" applyFill="1" applyBorder="1" applyAlignment="1">
      <alignment horizontal="center"/>
    </xf>
    <xf numFmtId="0" fontId="16" fillId="2" borderId="27" xfId="10" applyFont="1" applyFill="1" applyBorder="1" applyAlignment="1">
      <alignment horizontal="center" vertical="center"/>
    </xf>
    <xf numFmtId="165" fontId="15" fillId="17" borderId="27" xfId="0" applyNumberFormat="1" applyFont="1" applyFill="1" applyBorder="1"/>
    <xf numFmtId="0" fontId="15" fillId="17" borderId="27" xfId="22" applyFont="1" applyFill="1" applyBorder="1" applyAlignment="1">
      <alignment horizontal="left" vertical="center"/>
    </xf>
    <xf numFmtId="43" fontId="15" fillId="17" borderId="27" xfId="29" applyFont="1" applyFill="1" applyBorder="1" applyAlignment="1">
      <alignment horizontal="left" indent="1"/>
    </xf>
    <xf numFmtId="165" fontId="15" fillId="17" borderId="27" xfId="48" applyFont="1" applyFill="1" applyBorder="1" applyAlignment="1">
      <alignment horizontal="center"/>
    </xf>
    <xf numFmtId="165" fontId="15" fillId="17" borderId="27" xfId="10" applyNumberFormat="1" applyFont="1" applyFill="1" applyBorder="1" applyAlignment="1">
      <alignment horizontal="center"/>
    </xf>
    <xf numFmtId="0" fontId="15" fillId="18" borderId="27" xfId="10" quotePrefix="1" applyFont="1" applyFill="1" applyBorder="1" applyAlignment="1">
      <alignment horizontal="center" vertical="center"/>
    </xf>
    <xf numFmtId="0" fontId="16" fillId="18" borderId="27" xfId="22" applyFont="1" applyFill="1" applyBorder="1" applyAlignment="1">
      <alignment horizontal="left" vertical="center" wrapText="1"/>
    </xf>
    <xf numFmtId="169" fontId="15" fillId="18" borderId="27" xfId="21" applyNumberFormat="1" applyFont="1" applyFill="1" applyBorder="1" applyAlignment="1">
      <alignment horizontal="center" vertical="center"/>
    </xf>
    <xf numFmtId="165" fontId="16" fillId="18" borderId="27" xfId="21" applyNumberFormat="1" applyFont="1" applyFill="1" applyBorder="1" applyAlignment="1">
      <alignment horizontal="center" vertical="center"/>
    </xf>
    <xf numFmtId="0" fontId="15" fillId="18" borderId="27" xfId="10" applyFont="1" applyFill="1" applyBorder="1" applyAlignment="1">
      <alignment horizontal="center"/>
    </xf>
    <xf numFmtId="0" fontId="16" fillId="20" borderId="27" xfId="22" applyFont="1" applyFill="1" applyBorder="1" applyAlignment="1">
      <alignment horizontal="left" vertical="center"/>
    </xf>
    <xf numFmtId="165" fontId="15" fillId="20" borderId="27" xfId="21" applyNumberFormat="1" applyFont="1" applyFill="1" applyBorder="1" applyAlignment="1">
      <alignment horizontal="center" vertical="center"/>
    </xf>
    <xf numFmtId="0" fontId="16" fillId="20" borderId="27" xfId="12" applyFont="1" applyFill="1" applyBorder="1" applyAlignment="1">
      <alignment horizontal="center"/>
    </xf>
    <xf numFmtId="43" fontId="15" fillId="0" borderId="27" xfId="1" applyFont="1" applyFill="1" applyBorder="1" applyAlignment="1">
      <alignment horizontal="center"/>
    </xf>
    <xf numFmtId="0" fontId="15" fillId="17" borderId="27" xfId="22" applyFont="1" applyFill="1" applyBorder="1" applyAlignment="1">
      <alignment horizontal="center" vertical="center"/>
    </xf>
    <xf numFmtId="0" fontId="15" fillId="17" borderId="27" xfId="12" applyFont="1" applyFill="1" applyBorder="1" applyAlignment="1">
      <alignment horizontal="center"/>
    </xf>
    <xf numFmtId="0" fontId="16" fillId="20" borderId="27" xfId="22" applyFont="1" applyFill="1" applyBorder="1" applyAlignment="1">
      <alignment horizontal="left" vertical="center" wrapText="1"/>
    </xf>
    <xf numFmtId="165" fontId="15" fillId="20" borderId="27" xfId="57" applyFont="1" applyFill="1" applyBorder="1" applyAlignment="1">
      <alignment horizontal="right" vertical="center"/>
    </xf>
    <xf numFmtId="0" fontId="16" fillId="17" borderId="27" xfId="53" applyFont="1" applyFill="1" applyBorder="1" applyAlignment="1">
      <alignment horizontal="left"/>
    </xf>
    <xf numFmtId="41" fontId="15" fillId="17" borderId="27" xfId="34" applyFont="1" applyFill="1" applyBorder="1" applyAlignment="1">
      <alignment horizontal="center"/>
    </xf>
    <xf numFmtId="165" fontId="15" fillId="17" borderId="27" xfId="48" applyFont="1" applyFill="1" applyBorder="1"/>
    <xf numFmtId="165" fontId="15" fillId="2" borderId="27" xfId="48" applyFont="1" applyFill="1" applyBorder="1"/>
    <xf numFmtId="165" fontId="15" fillId="2" borderId="27" xfId="48" applyFont="1" applyFill="1" applyBorder="1" applyAlignment="1">
      <alignment horizontal="center"/>
    </xf>
    <xf numFmtId="43" fontId="15" fillId="2" borderId="27" xfId="8" applyFont="1" applyFill="1" applyBorder="1" applyAlignment="1">
      <alignment horizontal="center"/>
    </xf>
    <xf numFmtId="0" fontId="37" fillId="2" borderId="27" xfId="35" applyFont="1" applyFill="1" applyBorder="1" applyAlignment="1">
      <alignment horizontal="left" vertical="center"/>
    </xf>
    <xf numFmtId="43" fontId="37" fillId="2" borderId="27" xfId="64" applyFont="1" applyFill="1" applyBorder="1" applyAlignment="1">
      <alignment horizontal="center"/>
    </xf>
    <xf numFmtId="43" fontId="37" fillId="2" borderId="27" xfId="34" applyNumberFormat="1" applyFont="1" applyFill="1" applyBorder="1" applyAlignment="1">
      <alignment horizontal="center"/>
    </xf>
    <xf numFmtId="43" fontId="37" fillId="2" borderId="27" xfId="8" applyFont="1" applyFill="1" applyBorder="1" applyAlignment="1">
      <alignment horizontal="center"/>
    </xf>
    <xf numFmtId="43" fontId="37" fillId="2" borderId="27" xfId="64" applyFont="1" applyFill="1" applyBorder="1"/>
    <xf numFmtId="43" fontId="37" fillId="2" borderId="27" xfId="58" applyNumberFormat="1" applyFont="1" applyFill="1" applyBorder="1" applyAlignment="1">
      <alignment horizontal="center" vertical="center"/>
    </xf>
    <xf numFmtId="0" fontId="15" fillId="2" borderId="27" xfId="35" applyFont="1" applyFill="1" applyBorder="1" applyAlignment="1">
      <alignment horizontal="left" vertical="center"/>
    </xf>
    <xf numFmtId="41" fontId="15" fillId="2" borderId="27" xfId="34" applyFont="1" applyFill="1" applyBorder="1" applyAlignment="1">
      <alignment horizontal="center"/>
    </xf>
    <xf numFmtId="43" fontId="37" fillId="2" borderId="27" xfId="64" applyFont="1" applyFill="1" applyBorder="1" applyAlignment="1">
      <alignment horizontal="right" vertical="center"/>
    </xf>
    <xf numFmtId="43" fontId="37" fillId="2" borderId="27" xfId="21" applyFont="1" applyFill="1" applyBorder="1" applyAlignment="1">
      <alignment horizontal="center" vertical="center"/>
    </xf>
    <xf numFmtId="0" fontId="37" fillId="2" borderId="27" xfId="22" applyFont="1" applyFill="1" applyBorder="1" applyAlignment="1">
      <alignment horizontal="left" vertical="center" wrapText="1"/>
    </xf>
    <xf numFmtId="41" fontId="15" fillId="18" borderId="27" xfId="34" applyFont="1" applyFill="1" applyBorder="1" applyAlignment="1">
      <alignment horizontal="center"/>
    </xf>
    <xf numFmtId="43" fontId="37" fillId="18" borderId="27" xfId="64" applyFont="1" applyFill="1" applyBorder="1" applyAlignment="1">
      <alignment horizontal="right" vertical="center"/>
    </xf>
    <xf numFmtId="43" fontId="15" fillId="0" borderId="27" xfId="23" applyFont="1" applyBorder="1" applyAlignment="1">
      <alignment horizontal="right" vertical="center"/>
    </xf>
    <xf numFmtId="165" fontId="15" fillId="0" borderId="27" xfId="48" applyFont="1" applyBorder="1" applyAlignment="1">
      <alignment horizontal="center"/>
    </xf>
    <xf numFmtId="165" fontId="15" fillId="3" borderId="27" xfId="57" applyFont="1" applyFill="1" applyBorder="1" applyAlignment="1">
      <alignment horizontal="right" vertical="center"/>
    </xf>
    <xf numFmtId="165" fontId="15" fillId="0" borderId="27" xfId="60" applyNumberFormat="1" applyFont="1" applyFill="1" applyBorder="1" applyAlignment="1">
      <alignment horizontal="right" vertical="center"/>
    </xf>
    <xf numFmtId="43" fontId="15" fillId="0" borderId="27" xfId="58" applyNumberFormat="1" applyFont="1" applyBorder="1" applyAlignment="1">
      <alignment vertical="center"/>
    </xf>
    <xf numFmtId="0" fontId="15" fillId="0" borderId="27" xfId="10" applyFont="1" applyBorder="1" applyAlignment="1">
      <alignment horizontal="center"/>
    </xf>
    <xf numFmtId="0" fontId="15" fillId="20" borderId="27" xfId="0" applyFont="1" applyFill="1" applyBorder="1" applyAlignment="1">
      <alignment horizontal="center"/>
    </xf>
    <xf numFmtId="0" fontId="15" fillId="0" borderId="27" xfId="0" quotePrefix="1" applyFont="1" applyBorder="1"/>
    <xf numFmtId="43" fontId="15" fillId="0" borderId="27" xfId="1" applyFont="1" applyBorder="1" applyAlignment="1">
      <alignment horizontal="center"/>
    </xf>
    <xf numFmtId="43" fontId="15" fillId="0" borderId="27" xfId="2" applyNumberFormat="1" applyFont="1" applyBorder="1" applyAlignment="1">
      <alignment horizontal="center"/>
    </xf>
    <xf numFmtId="43" fontId="15" fillId="0" borderId="27" xfId="1" applyFont="1" applyFill="1" applyBorder="1"/>
    <xf numFmtId="0" fontId="15" fillId="0" borderId="27" xfId="0" applyFont="1" applyBorder="1" applyAlignment="1">
      <alignment vertical="top" wrapText="1"/>
    </xf>
    <xf numFmtId="0" fontId="15" fillId="0" borderId="27" xfId="0" applyFont="1" applyBorder="1" applyAlignment="1">
      <alignment horizontal="left" vertical="top"/>
    </xf>
    <xf numFmtId="43" fontId="15" fillId="0" borderId="27" xfId="40" applyFont="1" applyFill="1" applyBorder="1" applyAlignment="1">
      <alignment horizontal="center" vertical="center"/>
    </xf>
    <xf numFmtId="49" fontId="15" fillId="0" borderId="27" xfId="11" applyNumberFormat="1" applyFont="1" applyFill="1" applyBorder="1" applyAlignment="1">
      <alignment horizontal="center" vertical="center"/>
    </xf>
    <xf numFmtId="43" fontId="15" fillId="0" borderId="27" xfId="40" applyFont="1" applyFill="1" applyBorder="1" applyAlignment="1">
      <alignment horizontal="center" vertical="top"/>
    </xf>
    <xf numFmtId="43" fontId="15" fillId="0" borderId="27" xfId="40" applyFont="1" applyFill="1" applyBorder="1"/>
    <xf numFmtId="0" fontId="15" fillId="0" borderId="27" xfId="0" applyFont="1" applyBorder="1" applyAlignment="1">
      <alignment vertical="top"/>
    </xf>
    <xf numFmtId="0" fontId="15" fillId="0" borderId="27" xfId="0" quotePrefix="1" applyFont="1" applyBorder="1" applyAlignment="1">
      <alignment wrapText="1"/>
    </xf>
    <xf numFmtId="43" fontId="15" fillId="0" borderId="27" xfId="1" applyFont="1" applyBorder="1" applyAlignment="1">
      <alignment horizontal="center" vertical="top"/>
    </xf>
    <xf numFmtId="43" fontId="15" fillId="0" borderId="27" xfId="1" applyFont="1" applyFill="1" applyBorder="1" applyAlignment="1">
      <alignment horizontal="center" vertical="top"/>
    </xf>
    <xf numFmtId="43" fontId="15" fillId="0" borderId="27" xfId="2" applyNumberFormat="1" applyFont="1" applyBorder="1" applyAlignment="1">
      <alignment horizontal="center" vertical="top"/>
    </xf>
    <xf numFmtId="43" fontId="15" fillId="0" borderId="27" xfId="1" applyFont="1" applyFill="1" applyBorder="1" applyAlignment="1">
      <alignment vertical="top"/>
    </xf>
    <xf numFmtId="0" fontId="15" fillId="2" borderId="27" xfId="0" applyFont="1" applyFill="1" applyBorder="1" applyAlignment="1">
      <alignment horizontal="left" vertical="top" shrinkToFit="1"/>
    </xf>
    <xf numFmtId="165" fontId="15" fillId="2" borderId="27" xfId="0" applyNumberFormat="1" applyFont="1" applyFill="1" applyBorder="1" applyAlignment="1">
      <alignment horizontal="left" vertical="top"/>
    </xf>
    <xf numFmtId="43" fontId="15" fillId="2" borderId="27" xfId="0" applyNumberFormat="1" applyFont="1" applyFill="1" applyBorder="1" applyAlignment="1">
      <alignment horizontal="center" vertical="top"/>
    </xf>
    <xf numFmtId="43" fontId="15" fillId="2" borderId="27" xfId="1" applyFont="1" applyFill="1" applyBorder="1" applyAlignment="1">
      <alignment horizontal="center" vertical="top"/>
    </xf>
    <xf numFmtId="0" fontId="16" fillId="18" borderId="27" xfId="0" quotePrefix="1" applyFont="1" applyFill="1" applyBorder="1" applyAlignment="1">
      <alignment horizontal="center"/>
    </xf>
    <xf numFmtId="43" fontId="15" fillId="18" borderId="27" xfId="2" applyNumberFormat="1" applyFont="1" applyFill="1" applyBorder="1" applyAlignment="1">
      <alignment horizontal="center"/>
    </xf>
    <xf numFmtId="43" fontId="16" fillId="18" borderId="27" xfId="1" applyFont="1" applyFill="1" applyBorder="1"/>
    <xf numFmtId="43" fontId="15" fillId="20" borderId="27" xfId="1" applyFont="1" applyFill="1" applyBorder="1" applyAlignment="1">
      <alignment horizontal="center"/>
    </xf>
    <xf numFmtId="0" fontId="16" fillId="17" borderId="27" xfId="0" applyFont="1" applyFill="1" applyBorder="1" applyAlignment="1">
      <alignment horizontal="center"/>
    </xf>
    <xf numFmtId="0" fontId="16" fillId="17" borderId="27" xfId="0" applyFont="1" applyFill="1" applyBorder="1" applyAlignment="1">
      <alignment horizontal="left"/>
    </xf>
    <xf numFmtId="0" fontId="16" fillId="0" borderId="27" xfId="0" applyFont="1" applyBorder="1" applyAlignment="1">
      <alignment horizontal="center" vertical="top"/>
    </xf>
    <xf numFmtId="43" fontId="15" fillId="0" borderId="27" xfId="40" applyFont="1" applyFill="1" applyBorder="1" applyAlignment="1">
      <alignment vertical="top"/>
    </xf>
    <xf numFmtId="0" fontId="15" fillId="0" borderId="27" xfId="11" applyNumberFormat="1" applyFont="1" applyFill="1" applyBorder="1" applyAlignment="1">
      <alignment horizontal="center" vertical="top"/>
    </xf>
    <xf numFmtId="43" fontId="15" fillId="0" borderId="27" xfId="40" applyFont="1" applyFill="1" applyBorder="1" applyAlignment="1">
      <alignment horizontal="left" vertical="top"/>
    </xf>
    <xf numFmtId="0" fontId="15" fillId="0" borderId="27" xfId="0" applyFont="1" applyBorder="1" applyAlignment="1">
      <alignment horizontal="left" vertical="top" wrapText="1" indent="3"/>
    </xf>
    <xf numFmtId="0" fontId="16" fillId="12" borderId="27" xfId="0" applyFont="1" applyFill="1" applyBorder="1" applyAlignment="1">
      <alignment horizontal="center" vertical="top"/>
    </xf>
    <xf numFmtId="0" fontId="16" fillId="12" borderId="27" xfId="0" applyFont="1" applyFill="1" applyBorder="1" applyAlignment="1">
      <alignment horizontal="center" vertical="top" wrapText="1"/>
    </xf>
    <xf numFmtId="43" fontId="15" fillId="12" borderId="27" xfId="40" applyFont="1" applyFill="1" applyBorder="1" applyAlignment="1">
      <alignment vertical="top"/>
    </xf>
    <xf numFmtId="0" fontId="15" fillId="12" borderId="27" xfId="11" applyNumberFormat="1" applyFont="1" applyFill="1" applyBorder="1" applyAlignment="1">
      <alignment horizontal="center" vertical="top"/>
    </xf>
    <xf numFmtId="43" fontId="15" fillId="12" borderId="27" xfId="40" applyFont="1" applyFill="1" applyBorder="1" applyAlignment="1">
      <alignment horizontal="left" vertical="top"/>
    </xf>
    <xf numFmtId="43" fontId="15" fillId="12" borderId="27" xfId="40" applyFont="1" applyFill="1" applyBorder="1" applyAlignment="1">
      <alignment horizontal="center" vertical="top"/>
    </xf>
    <xf numFmtId="43" fontId="15" fillId="12" borderId="27" xfId="40" applyFont="1" applyFill="1" applyBorder="1"/>
    <xf numFmtId="43" fontId="16" fillId="12" borderId="27" xfId="40" applyFont="1" applyFill="1" applyBorder="1"/>
    <xf numFmtId="0" fontId="15" fillId="12" borderId="27" xfId="0" applyFont="1" applyFill="1" applyBorder="1" applyAlignment="1">
      <alignment vertical="top"/>
    </xf>
    <xf numFmtId="0" fontId="16" fillId="17" borderId="27" xfId="0" applyFont="1" applyFill="1" applyBorder="1"/>
    <xf numFmtId="0" fontId="15" fillId="0" borderId="27" xfId="0" applyFont="1" applyBorder="1" applyAlignment="1">
      <alignment horizontal="center" vertical="top"/>
    </xf>
    <xf numFmtId="0" fontId="15" fillId="0" borderId="27" xfId="0" applyFont="1" applyBorder="1" applyAlignment="1">
      <alignment horizontal="left" vertical="top" wrapText="1"/>
    </xf>
    <xf numFmtId="49" fontId="15" fillId="0" borderId="27" xfId="11" applyNumberFormat="1" applyFont="1" applyFill="1" applyBorder="1" applyAlignment="1">
      <alignment horizontal="center" vertical="top"/>
    </xf>
    <xf numFmtId="43" fontId="15" fillId="2" borderId="27" xfId="1" applyFont="1" applyFill="1" applyBorder="1"/>
    <xf numFmtId="49" fontId="15" fillId="12" borderId="27" xfId="11" applyNumberFormat="1" applyFont="1" applyFill="1" applyBorder="1" applyAlignment="1">
      <alignment horizontal="center" vertical="top"/>
    </xf>
    <xf numFmtId="43" fontId="15" fillId="12" borderId="27" xfId="1" applyFont="1" applyFill="1" applyBorder="1"/>
    <xf numFmtId="43" fontId="15" fillId="12" borderId="27" xfId="2" applyNumberFormat="1" applyFont="1" applyFill="1" applyBorder="1" applyAlignment="1">
      <alignment horizontal="center"/>
    </xf>
    <xf numFmtId="43" fontId="16" fillId="12" borderId="27" xfId="1" applyFont="1" applyFill="1" applyBorder="1"/>
    <xf numFmtId="0" fontId="16" fillId="18" borderId="27" xfId="0" applyFont="1" applyFill="1" applyBorder="1" applyAlignment="1">
      <alignment horizontal="center" vertical="top"/>
    </xf>
    <xf numFmtId="0" fontId="16" fillId="18" borderId="27" xfId="0" applyFont="1" applyFill="1" applyBorder="1" applyAlignment="1">
      <alignment horizontal="center" vertical="top" wrapText="1"/>
    </xf>
    <xf numFmtId="43" fontId="15" fillId="18" borderId="27" xfId="40" applyFont="1" applyFill="1" applyBorder="1" applyAlignment="1">
      <alignment horizontal="center" vertical="top"/>
    </xf>
    <xf numFmtId="49" fontId="15" fillId="18" borderId="27" xfId="11" applyNumberFormat="1" applyFont="1" applyFill="1" applyBorder="1" applyAlignment="1">
      <alignment horizontal="center" vertical="top"/>
    </xf>
    <xf numFmtId="43" fontId="15" fillId="18" borderId="27" xfId="1" applyFont="1" applyFill="1" applyBorder="1"/>
    <xf numFmtId="0" fontId="16" fillId="20" borderId="27" xfId="0" applyFont="1" applyFill="1" applyBorder="1" applyAlignment="1">
      <alignment horizontal="center" vertical="top"/>
    </xf>
    <xf numFmtId="0" fontId="15" fillId="20" borderId="27" xfId="0" applyFont="1" applyFill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left"/>
    </xf>
    <xf numFmtId="0" fontId="15" fillId="0" borderId="27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left" wrapText="1"/>
    </xf>
    <xf numFmtId="0" fontId="16" fillId="18" borderId="27" xfId="0" applyFont="1" applyFill="1" applyBorder="1" applyAlignment="1">
      <alignment horizontal="center" wrapText="1"/>
    </xf>
    <xf numFmtId="43" fontId="15" fillId="18" borderId="27" xfId="1" applyFont="1" applyFill="1" applyBorder="1" applyAlignment="1">
      <alignment horizontal="center" vertical="top"/>
    </xf>
    <xf numFmtId="43" fontId="15" fillId="18" borderId="27" xfId="1" applyFont="1" applyFill="1" applyBorder="1" applyAlignment="1">
      <alignment vertical="top"/>
    </xf>
    <xf numFmtId="43" fontId="15" fillId="18" borderId="27" xfId="2" applyNumberFormat="1" applyFont="1" applyFill="1" applyBorder="1" applyAlignment="1">
      <alignment horizontal="center" vertical="top"/>
    </xf>
    <xf numFmtId="43" fontId="16" fillId="18" borderId="27" xfId="1" applyFont="1" applyFill="1" applyBorder="1" applyAlignment="1">
      <alignment vertical="top"/>
    </xf>
    <xf numFmtId="0" fontId="15" fillId="18" borderId="27" xfId="0" applyFont="1" applyFill="1" applyBorder="1" applyAlignment="1">
      <alignment horizontal="center" vertical="top" wrapText="1"/>
    </xf>
    <xf numFmtId="0" fontId="16" fillId="20" borderId="27" xfId="0" applyFont="1" applyFill="1" applyBorder="1" applyAlignment="1">
      <alignment horizontal="center" vertical="top" wrapText="1"/>
    </xf>
    <xf numFmtId="0" fontId="16" fillId="20" borderId="27" xfId="0" applyFont="1" applyFill="1" applyBorder="1" applyAlignment="1">
      <alignment horizontal="left" vertical="top" wrapText="1"/>
    </xf>
    <xf numFmtId="43" fontId="15" fillId="20" borderId="27" xfId="40" applyFont="1" applyFill="1" applyBorder="1" applyAlignment="1">
      <alignment horizontal="left" vertical="top"/>
    </xf>
    <xf numFmtId="43" fontId="15" fillId="20" borderId="27" xfId="39" applyFont="1" applyFill="1" applyBorder="1" applyAlignment="1">
      <alignment horizontal="center" vertical="top"/>
    </xf>
    <xf numFmtId="0" fontId="15" fillId="17" borderId="27" xfId="0" applyFont="1" applyFill="1" applyBorder="1" applyAlignment="1">
      <alignment horizontal="center" vertical="top"/>
    </xf>
    <xf numFmtId="0" fontId="15" fillId="17" borderId="27" xfId="0" applyFont="1" applyFill="1" applyBorder="1" applyAlignment="1">
      <alignment vertical="top" wrapText="1"/>
    </xf>
    <xf numFmtId="43" fontId="15" fillId="17" borderId="27" xfId="40" applyFont="1" applyFill="1" applyBorder="1" applyAlignment="1">
      <alignment horizontal="left" vertical="top"/>
    </xf>
    <xf numFmtId="43" fontId="15" fillId="17" borderId="27" xfId="39" applyFont="1" applyFill="1" applyBorder="1" applyAlignment="1">
      <alignment horizontal="center" vertical="top"/>
    </xf>
    <xf numFmtId="0" fontId="15" fillId="17" borderId="27" xfId="0" applyFont="1" applyFill="1" applyBorder="1" applyAlignment="1">
      <alignment horizontal="center" vertical="top" wrapText="1"/>
    </xf>
    <xf numFmtId="43" fontId="15" fillId="0" borderId="27" xfId="39" applyFont="1" applyFill="1" applyBorder="1" applyAlignment="1">
      <alignment vertical="top"/>
    </xf>
    <xf numFmtId="41" fontId="15" fillId="0" borderId="27" xfId="11" applyFont="1" applyFill="1" applyBorder="1" applyAlignment="1">
      <alignment horizontal="center"/>
    </xf>
    <xf numFmtId="0" fontId="15" fillId="12" borderId="27" xfId="0" applyFont="1" applyFill="1" applyBorder="1" applyAlignment="1">
      <alignment horizontal="center"/>
    </xf>
    <xf numFmtId="43" fontId="15" fillId="12" borderId="27" xfId="39" applyFont="1" applyFill="1" applyBorder="1" applyAlignment="1">
      <alignment horizontal="center" vertical="top"/>
    </xf>
    <xf numFmtId="0" fontId="15" fillId="12" borderId="27" xfId="0" applyFont="1" applyFill="1" applyBorder="1" applyAlignment="1">
      <alignment horizontal="center" vertical="top" wrapText="1"/>
    </xf>
    <xf numFmtId="43" fontId="15" fillId="0" borderId="27" xfId="1" applyFont="1" applyFill="1" applyBorder="1" applyAlignment="1" applyProtection="1">
      <alignment horizontal="center" vertical="center"/>
      <protection locked="0"/>
    </xf>
    <xf numFmtId="43" fontId="15" fillId="0" borderId="27" xfId="1" applyFont="1" applyFill="1" applyBorder="1" applyAlignment="1" applyProtection="1">
      <alignment horizontal="right" vertical="center"/>
      <protection locked="0"/>
    </xf>
    <xf numFmtId="43" fontId="37" fillId="0" borderId="27" xfId="39" applyFont="1" applyFill="1" applyBorder="1"/>
    <xf numFmtId="43" fontId="37" fillId="0" borderId="27" xfId="1" applyFont="1" applyFill="1" applyBorder="1" applyAlignment="1" applyProtection="1">
      <alignment horizontal="right" vertical="center"/>
      <protection hidden="1"/>
    </xf>
    <xf numFmtId="43" fontId="15" fillId="12" borderId="27" xfId="39" applyFont="1" applyFill="1" applyBorder="1" applyAlignment="1">
      <alignment vertical="top"/>
    </xf>
    <xf numFmtId="0" fontId="15" fillId="17" borderId="27" xfId="0" applyFont="1" applyFill="1" applyBorder="1" applyAlignment="1">
      <alignment horizontal="left" vertical="top" wrapText="1"/>
    </xf>
    <xf numFmtId="43" fontId="15" fillId="18" borderId="27" xfId="40" applyFont="1" applyFill="1" applyBorder="1" applyAlignment="1">
      <alignment horizontal="left" vertical="top"/>
    </xf>
    <xf numFmtId="43" fontId="15" fillId="18" borderId="27" xfId="39" applyFont="1" applyFill="1" applyBorder="1" applyAlignment="1">
      <alignment horizontal="center" vertical="top"/>
    </xf>
    <xf numFmtId="43" fontId="15" fillId="18" borderId="27" xfId="40" applyFont="1" applyFill="1" applyBorder="1"/>
    <xf numFmtId="43" fontId="16" fillId="18" borderId="27" xfId="40" applyFont="1" applyFill="1" applyBorder="1" applyAlignment="1"/>
    <xf numFmtId="0" fontId="36" fillId="20" borderId="27" xfId="0" applyFont="1" applyFill="1" applyBorder="1" applyAlignment="1">
      <alignment horizontal="center" vertical="top" wrapText="1"/>
    </xf>
    <xf numFmtId="0" fontId="36" fillId="20" borderId="27" xfId="0" applyFont="1" applyFill="1" applyBorder="1" applyAlignment="1">
      <alignment vertical="top"/>
    </xf>
    <xf numFmtId="0" fontId="37" fillId="20" borderId="27" xfId="0" applyFont="1" applyFill="1" applyBorder="1" applyAlignment="1">
      <alignment horizontal="center" vertical="top"/>
    </xf>
    <xf numFmtId="43" fontId="37" fillId="20" borderId="27" xfId="1" applyFont="1" applyFill="1" applyBorder="1" applyAlignment="1" applyProtection="1">
      <alignment horizontal="center" vertical="top"/>
      <protection locked="0"/>
    </xf>
    <xf numFmtId="43" fontId="37" fillId="20" borderId="27" xfId="1" applyFont="1" applyFill="1" applyBorder="1" applyAlignment="1" applyProtection="1">
      <alignment vertical="top"/>
      <protection locked="0"/>
    </xf>
    <xf numFmtId="43" fontId="37" fillId="20" borderId="27" xfId="1" applyFont="1" applyFill="1" applyBorder="1" applyAlignment="1">
      <alignment vertical="top"/>
    </xf>
    <xf numFmtId="0" fontId="37" fillId="20" borderId="27" xfId="0" applyFont="1" applyFill="1" applyBorder="1" applyAlignment="1">
      <alignment horizontal="center" vertical="top" wrapText="1"/>
    </xf>
    <xf numFmtId="0" fontId="37" fillId="17" borderId="27" xfId="0" applyFont="1" applyFill="1" applyBorder="1" applyAlignment="1">
      <alignment horizontal="center" vertical="top" wrapText="1"/>
    </xf>
    <xf numFmtId="0" fontId="36" fillId="17" borderId="27" xfId="0" applyFont="1" applyFill="1" applyBorder="1" applyAlignment="1">
      <alignment vertical="top"/>
    </xf>
    <xf numFmtId="0" fontId="37" fillId="17" borderId="27" xfId="0" applyFont="1" applyFill="1" applyBorder="1" applyAlignment="1">
      <alignment horizontal="center" vertical="top"/>
    </xf>
    <xf numFmtId="43" fontId="37" fillId="17" borderId="27" xfId="1" applyFont="1" applyFill="1" applyBorder="1" applyAlignment="1" applyProtection="1">
      <alignment horizontal="center" vertical="top"/>
      <protection locked="0"/>
    </xf>
    <xf numFmtId="43" fontId="37" fillId="17" borderId="27" xfId="1" applyFont="1" applyFill="1" applyBorder="1" applyAlignment="1" applyProtection="1">
      <alignment vertical="top"/>
      <protection locked="0"/>
    </xf>
    <xf numFmtId="43" fontId="37" fillId="17" borderId="27" xfId="1" applyFont="1" applyFill="1" applyBorder="1" applyAlignment="1">
      <alignment vertical="top"/>
    </xf>
    <xf numFmtId="0" fontId="37" fillId="0" borderId="27" xfId="0" applyFont="1" applyBorder="1" applyAlignment="1">
      <alignment horizontal="center" vertical="top" wrapText="1"/>
    </xf>
    <xf numFmtId="165" fontId="37" fillId="0" borderId="27" xfId="0" applyNumberFormat="1" applyFont="1" applyBorder="1" applyAlignment="1">
      <alignment horizontal="left" vertical="top" wrapText="1"/>
    </xf>
    <xf numFmtId="43" fontId="37" fillId="2" borderId="27" xfId="1" applyFont="1" applyFill="1" applyBorder="1" applyAlignment="1" applyProtection="1">
      <alignment horizontal="center" vertical="top"/>
      <protection locked="0"/>
    </xf>
    <xf numFmtId="43" fontId="37" fillId="2" borderId="27" xfId="1" applyFont="1" applyFill="1" applyBorder="1" applyAlignment="1">
      <alignment vertical="top"/>
    </xf>
    <xf numFmtId="43" fontId="37" fillId="0" borderId="27" xfId="2" applyNumberFormat="1" applyFont="1" applyBorder="1" applyAlignment="1">
      <alignment horizontal="center" vertical="top"/>
    </xf>
    <xf numFmtId="43" fontId="37" fillId="0" borderId="27" xfId="1" applyFont="1" applyFill="1" applyBorder="1" applyAlignment="1">
      <alignment vertical="top"/>
    </xf>
    <xf numFmtId="165" fontId="37" fillId="0" borderId="27" xfId="0" applyNumberFormat="1" applyFont="1" applyBorder="1" applyAlignment="1">
      <alignment horizontal="left" vertical="top" wrapText="1" indent="3"/>
    </xf>
    <xf numFmtId="0" fontId="37" fillId="12" borderId="27" xfId="0" applyFont="1" applyFill="1" applyBorder="1" applyAlignment="1">
      <alignment horizontal="center" vertical="top" wrapText="1"/>
    </xf>
    <xf numFmtId="165" fontId="16" fillId="12" borderId="27" xfId="0" applyNumberFormat="1" applyFont="1" applyFill="1" applyBorder="1" applyAlignment="1">
      <alignment horizontal="center" vertical="top" wrapText="1"/>
    </xf>
    <xf numFmtId="43" fontId="37" fillId="12" borderId="27" xfId="1" applyFont="1" applyFill="1" applyBorder="1" applyAlignment="1">
      <alignment horizontal="center" vertical="top"/>
    </xf>
    <xf numFmtId="43" fontId="37" fillId="12" borderId="27" xfId="1" applyFont="1" applyFill="1" applyBorder="1" applyAlignment="1" applyProtection="1">
      <alignment horizontal="center" vertical="top"/>
      <protection locked="0"/>
    </xf>
    <xf numFmtId="43" fontId="37" fillId="12" borderId="27" xfId="1" applyFont="1" applyFill="1" applyBorder="1" applyAlignment="1">
      <alignment vertical="top"/>
    </xf>
    <xf numFmtId="43" fontId="37" fillId="12" borderId="27" xfId="2" applyNumberFormat="1" applyFont="1" applyFill="1" applyBorder="1" applyAlignment="1">
      <alignment horizontal="center" vertical="top"/>
    </xf>
    <xf numFmtId="43" fontId="16" fillId="12" borderId="27" xfId="1" applyFont="1" applyFill="1" applyBorder="1" applyAlignment="1">
      <alignment vertical="top"/>
    </xf>
    <xf numFmtId="43" fontId="37" fillId="17" borderId="27" xfId="1" applyFont="1" applyFill="1" applyBorder="1" applyAlignment="1">
      <alignment horizontal="center" vertical="top"/>
    </xf>
    <xf numFmtId="43" fontId="37" fillId="17" borderId="27" xfId="2" applyNumberFormat="1" applyFont="1" applyFill="1" applyBorder="1" applyAlignment="1">
      <alignment horizontal="center" vertical="top"/>
    </xf>
    <xf numFmtId="165" fontId="37" fillId="0" borderId="27" xfId="0" applyNumberFormat="1" applyFont="1" applyBorder="1" applyAlignment="1">
      <alignment horizontal="left" vertical="top"/>
    </xf>
    <xf numFmtId="0" fontId="37" fillId="18" borderId="27" xfId="0" applyFont="1" applyFill="1" applyBorder="1" applyAlignment="1">
      <alignment horizontal="center" vertical="top" wrapText="1"/>
    </xf>
    <xf numFmtId="165" fontId="16" fillId="18" borderId="27" xfId="0" applyNumberFormat="1" applyFont="1" applyFill="1" applyBorder="1" applyAlignment="1">
      <alignment horizontal="center" vertical="top" wrapText="1"/>
    </xf>
    <xf numFmtId="43" fontId="37" fillId="18" borderId="27" xfId="1" applyFont="1" applyFill="1" applyBorder="1" applyAlignment="1">
      <alignment horizontal="center" vertical="top"/>
    </xf>
    <xf numFmtId="43" fontId="37" fillId="18" borderId="27" xfId="1" applyFont="1" applyFill="1" applyBorder="1" applyAlignment="1" applyProtection="1">
      <alignment horizontal="center" vertical="top"/>
      <protection locked="0"/>
    </xf>
    <xf numFmtId="43" fontId="37" fillId="18" borderId="27" xfId="1" applyFont="1" applyFill="1" applyBorder="1" applyAlignment="1">
      <alignment vertical="top"/>
    </xf>
    <xf numFmtId="43" fontId="37" fillId="18" borderId="27" xfId="2" applyNumberFormat="1" applyFont="1" applyFill="1" applyBorder="1" applyAlignment="1">
      <alignment horizontal="center" vertical="top"/>
    </xf>
    <xf numFmtId="0" fontId="36" fillId="20" borderId="27" xfId="0" applyFont="1" applyFill="1" applyBorder="1" applyAlignment="1">
      <alignment horizontal="left"/>
    </xf>
    <xf numFmtId="0" fontId="37" fillId="20" borderId="27" xfId="0" applyFont="1" applyFill="1" applyBorder="1" applyAlignment="1">
      <alignment horizontal="center"/>
    </xf>
    <xf numFmtId="43" fontId="37" fillId="20" borderId="27" xfId="1" applyFont="1" applyFill="1" applyBorder="1" applyAlignment="1" applyProtection="1">
      <alignment horizontal="center"/>
      <protection locked="0"/>
    </xf>
    <xf numFmtId="43" fontId="37" fillId="20" borderId="27" xfId="1" applyFont="1" applyFill="1" applyBorder="1" applyProtection="1">
      <protection locked="0"/>
    </xf>
    <xf numFmtId="43" fontId="37" fillId="20" borderId="27" xfId="1" applyFont="1" applyFill="1" applyBorder="1"/>
    <xf numFmtId="0" fontId="37" fillId="0" borderId="27" xfId="0" applyFont="1" applyBorder="1" applyAlignment="1">
      <alignment horizontal="left"/>
    </xf>
    <xf numFmtId="43" fontId="37" fillId="0" borderId="27" xfId="1" applyFont="1" applyBorder="1" applyAlignment="1">
      <alignment horizontal="center"/>
    </xf>
    <xf numFmtId="2" fontId="37" fillId="2" borderId="27" xfId="0" applyNumberFormat="1" applyFont="1" applyFill="1" applyBorder="1" applyAlignment="1">
      <alignment horizontal="center"/>
    </xf>
    <xf numFmtId="43" fontId="37" fillId="2" borderId="27" xfId="1" applyFont="1" applyFill="1" applyBorder="1"/>
    <xf numFmtId="43" fontId="37" fillId="0" borderId="27" xfId="1" applyFont="1" applyBorder="1"/>
    <xf numFmtId="43" fontId="37" fillId="2" borderId="27" xfId="1" applyFont="1" applyFill="1" applyBorder="1" applyAlignment="1"/>
    <xf numFmtId="2" fontId="37" fillId="18" borderId="27" xfId="0" applyNumberFormat="1" applyFont="1" applyFill="1" applyBorder="1" applyAlignment="1">
      <alignment horizontal="center"/>
    </xf>
    <xf numFmtId="43" fontId="37" fillId="18" borderId="27" xfId="1" applyFont="1" applyFill="1" applyBorder="1"/>
    <xf numFmtId="0" fontId="16" fillId="20" borderId="27" xfId="0" applyFont="1" applyFill="1" applyBorder="1" applyAlignment="1">
      <alignment vertical="top" wrapText="1"/>
    </xf>
    <xf numFmtId="0" fontId="15" fillId="0" borderId="27" xfId="0" quotePrefix="1" applyFont="1" applyBorder="1" applyAlignment="1">
      <alignment vertical="top" wrapText="1"/>
    </xf>
    <xf numFmtId="0" fontId="16" fillId="18" borderId="27" xfId="0" quotePrefix="1" applyFont="1" applyFill="1" applyBorder="1" applyAlignment="1">
      <alignment horizontal="center" vertical="top" wrapText="1"/>
    </xf>
    <xf numFmtId="43" fontId="16" fillId="18" borderId="27" xfId="40" applyFont="1" applyFill="1" applyBorder="1"/>
    <xf numFmtId="43" fontId="15" fillId="20" borderId="27" xfId="40" applyFont="1" applyFill="1" applyBorder="1" applyAlignment="1">
      <alignment horizontal="center" vertical="top"/>
    </xf>
    <xf numFmtId="0" fontId="16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center" wrapText="1"/>
    </xf>
    <xf numFmtId="0" fontId="16" fillId="18" borderId="27" xfId="0" applyFont="1" applyFill="1" applyBorder="1" applyAlignment="1">
      <alignment horizontal="center" vertical="center" wrapText="1"/>
    </xf>
    <xf numFmtId="43" fontId="15" fillId="18" borderId="27" xfId="40" applyFont="1" applyFill="1" applyBorder="1" applyAlignment="1">
      <alignment vertical="top"/>
    </xf>
    <xf numFmtId="0" fontId="15" fillId="18" borderId="27" xfId="11" applyNumberFormat="1" applyFont="1" applyFill="1" applyBorder="1" applyAlignment="1">
      <alignment horizontal="center" vertical="top"/>
    </xf>
    <xf numFmtId="0" fontId="15" fillId="18" borderId="27" xfId="0" applyFont="1" applyFill="1" applyBorder="1" applyAlignment="1">
      <alignment vertical="top"/>
    </xf>
    <xf numFmtId="165" fontId="15" fillId="20" borderId="27" xfId="61" applyFont="1" applyFill="1" applyBorder="1" applyAlignment="1">
      <alignment horizontal="center"/>
    </xf>
    <xf numFmtId="165" fontId="15" fillId="20" borderId="27" xfId="61" applyFont="1" applyFill="1" applyBorder="1" applyAlignment="1">
      <alignment horizontal="center" vertical="top"/>
    </xf>
    <xf numFmtId="165" fontId="15" fillId="20" borderId="27" xfId="61" applyFont="1" applyFill="1" applyBorder="1"/>
    <xf numFmtId="0" fontId="15" fillId="20" borderId="27" xfId="0" applyFont="1" applyFill="1" applyBorder="1" applyAlignment="1">
      <alignment vertical="top"/>
    </xf>
    <xf numFmtId="165" fontId="15" fillId="0" borderId="27" xfId="61" applyFont="1" applyBorder="1" applyAlignment="1">
      <alignment horizontal="center"/>
    </xf>
    <xf numFmtId="165" fontId="15" fillId="0" borderId="27" xfId="61" applyFont="1" applyBorder="1" applyAlignment="1">
      <alignment vertical="top"/>
    </xf>
    <xf numFmtId="43" fontId="15" fillId="0" borderId="27" xfId="1" applyFont="1" applyBorder="1"/>
    <xf numFmtId="43" fontId="15" fillId="20" borderId="27" xfId="21" applyFont="1" applyFill="1" applyBorder="1" applyAlignment="1">
      <alignment horizontal="center" vertical="center"/>
    </xf>
    <xf numFmtId="43" fontId="15" fillId="20" borderId="27" xfId="1" applyFont="1" applyFill="1" applyBorder="1" applyAlignment="1">
      <alignment vertical="top"/>
    </xf>
    <xf numFmtId="43" fontId="15" fillId="17" borderId="27" xfId="21" applyFont="1" applyFill="1" applyBorder="1" applyAlignment="1">
      <alignment horizontal="center" vertical="center"/>
    </xf>
    <xf numFmtId="43" fontId="15" fillId="17" borderId="27" xfId="1" applyFont="1" applyFill="1" applyBorder="1" applyAlignment="1">
      <alignment vertical="top"/>
    </xf>
    <xf numFmtId="0" fontId="15" fillId="17" borderId="27" xfId="0" applyFont="1" applyFill="1" applyBorder="1"/>
    <xf numFmtId="0" fontId="15" fillId="0" borderId="27" xfId="0" applyFont="1" applyBorder="1" applyAlignment="1">
      <alignment wrapText="1"/>
    </xf>
    <xf numFmtId="165" fontId="15" fillId="0" borderId="27" xfId="61" applyFont="1" applyFill="1" applyBorder="1"/>
    <xf numFmtId="165" fontId="15" fillId="0" borderId="27" xfId="0" applyNumberFormat="1" applyFont="1" applyBorder="1"/>
    <xf numFmtId="165" fontId="15" fillId="18" borderId="27" xfId="61" applyFont="1" applyFill="1" applyBorder="1" applyAlignment="1">
      <alignment horizontal="center"/>
    </xf>
    <xf numFmtId="165" fontId="15" fillId="18" borderId="27" xfId="61" applyFont="1" applyFill="1" applyBorder="1"/>
    <xf numFmtId="165" fontId="16" fillId="18" borderId="27" xfId="61" applyFont="1" applyFill="1" applyBorder="1"/>
    <xf numFmtId="165" fontId="15" fillId="18" borderId="27" xfId="0" applyNumberFormat="1" applyFont="1" applyFill="1" applyBorder="1"/>
    <xf numFmtId="43" fontId="15" fillId="20" borderId="27" xfId="0" applyNumberFormat="1" applyFont="1" applyFill="1" applyBorder="1"/>
    <xf numFmtId="43" fontId="15" fillId="17" borderId="27" xfId="0" applyNumberFormat="1" applyFont="1" applyFill="1" applyBorder="1"/>
    <xf numFmtId="43" fontId="15" fillId="20" borderId="27" xfId="0" applyNumberFormat="1" applyFont="1" applyFill="1" applyBorder="1" applyAlignment="1">
      <alignment horizontal="center" vertical="top" wrapText="1"/>
    </xf>
    <xf numFmtId="0" fontId="16" fillId="17" borderId="27" xfId="0" applyFont="1" applyFill="1" applyBorder="1" applyAlignment="1">
      <alignment horizontal="center" vertical="top" wrapText="1"/>
    </xf>
    <xf numFmtId="43" fontId="15" fillId="17" borderId="27" xfId="0" applyNumberFormat="1" applyFont="1" applyFill="1" applyBorder="1" applyAlignment="1">
      <alignment horizontal="center" vertical="top" wrapText="1"/>
    </xf>
    <xf numFmtId="43" fontId="15" fillId="0" borderId="27" xfId="1" applyFont="1" applyBorder="1" applyAlignment="1">
      <alignment vertical="top"/>
    </xf>
    <xf numFmtId="43" fontId="15" fillId="2" borderId="27" xfId="1" applyFont="1" applyFill="1" applyBorder="1" applyAlignment="1">
      <alignment vertical="top"/>
    </xf>
    <xf numFmtId="43" fontId="15" fillId="0" borderId="27" xfId="0" applyNumberFormat="1" applyFont="1" applyBorder="1" applyAlignment="1">
      <alignment horizontal="center" vertical="top" wrapText="1"/>
    </xf>
    <xf numFmtId="0" fontId="16" fillId="17" borderId="27" xfId="0" applyFont="1" applyFill="1" applyBorder="1" applyAlignment="1">
      <alignment horizontal="center" vertical="top"/>
    </xf>
    <xf numFmtId="43" fontId="15" fillId="17" borderId="27" xfId="1" applyFont="1" applyFill="1" applyBorder="1" applyAlignment="1">
      <alignment horizontal="center" vertical="top"/>
    </xf>
    <xf numFmtId="43" fontId="15" fillId="17" borderId="27" xfId="0" applyNumberFormat="1" applyFont="1" applyFill="1" applyBorder="1" applyAlignment="1">
      <alignment horizontal="center" vertical="top"/>
    </xf>
    <xf numFmtId="0" fontId="15" fillId="16" borderId="27" xfId="0" applyFont="1" applyFill="1" applyBorder="1" applyAlignment="1">
      <alignment horizontal="center" vertical="top" wrapText="1"/>
    </xf>
    <xf numFmtId="43" fontId="15" fillId="18" borderId="27" xfId="0" applyNumberFormat="1" applyFont="1" applyFill="1" applyBorder="1"/>
    <xf numFmtId="0" fontId="36" fillId="16" borderId="27" xfId="0" applyFont="1" applyFill="1" applyBorder="1" applyAlignment="1">
      <alignment horizontal="center"/>
    </xf>
    <xf numFmtId="43" fontId="37" fillId="16" borderId="27" xfId="1" applyFont="1" applyFill="1" applyBorder="1" applyAlignment="1">
      <alignment horizontal="center"/>
    </xf>
    <xf numFmtId="0" fontId="37" fillId="16" borderId="27" xfId="0" applyFont="1" applyFill="1" applyBorder="1" applyAlignment="1">
      <alignment horizontal="center"/>
    </xf>
    <xf numFmtId="43" fontId="37" fillId="16" borderId="27" xfId="1" applyFont="1" applyFill="1" applyBorder="1"/>
    <xf numFmtId="43" fontId="37" fillId="16" borderId="27" xfId="0" applyNumberFormat="1" applyFont="1" applyFill="1" applyBorder="1" applyAlignment="1">
      <alignment horizontal="center"/>
    </xf>
    <xf numFmtId="0" fontId="36" fillId="20" borderId="27" xfId="0" applyFont="1" applyFill="1" applyBorder="1" applyAlignment="1">
      <alignment horizontal="center"/>
    </xf>
    <xf numFmtId="0" fontId="43" fillId="20" borderId="27" xfId="0" quotePrefix="1" applyFont="1" applyFill="1" applyBorder="1" applyAlignment="1">
      <alignment horizontal="left"/>
    </xf>
    <xf numFmtId="43" fontId="37" fillId="20" borderId="27" xfId="1" applyFont="1" applyFill="1" applyBorder="1" applyAlignment="1" applyProtection="1">
      <alignment horizontal="center" vertical="center"/>
      <protection locked="0"/>
    </xf>
    <xf numFmtId="43" fontId="37" fillId="20" borderId="27" xfId="1" applyFont="1" applyFill="1" applyBorder="1" applyAlignment="1">
      <alignment horizontal="center"/>
    </xf>
    <xf numFmtId="43" fontId="37" fillId="20" borderId="27" xfId="1" applyFont="1" applyFill="1" applyBorder="1" applyAlignment="1" applyProtection="1">
      <alignment horizontal="right" vertical="center"/>
      <protection locked="0"/>
    </xf>
    <xf numFmtId="43" fontId="37" fillId="20" borderId="27" xfId="1" applyFont="1" applyFill="1" applyBorder="1" applyAlignment="1" applyProtection="1">
      <alignment horizontal="right" vertical="center"/>
      <protection hidden="1"/>
    </xf>
    <xf numFmtId="0" fontId="37" fillId="20" borderId="27" xfId="0" applyFont="1" applyFill="1" applyBorder="1"/>
    <xf numFmtId="43" fontId="37" fillId="0" borderId="27" xfId="1" applyFont="1" applyFill="1" applyBorder="1" applyAlignment="1" applyProtection="1">
      <alignment horizontal="center" vertical="center"/>
      <protection locked="0"/>
    </xf>
    <xf numFmtId="43" fontId="37" fillId="0" borderId="27" xfId="1" applyFont="1" applyFill="1" applyBorder="1" applyAlignment="1" applyProtection="1">
      <alignment horizontal="right" vertical="center"/>
      <protection locked="0"/>
    </xf>
    <xf numFmtId="0" fontId="37" fillId="0" borderId="27" xfId="0" applyFont="1" applyBorder="1" applyAlignment="1">
      <alignment horizontal="left" wrapText="1"/>
    </xf>
    <xf numFmtId="43" fontId="37" fillId="0" borderId="27" xfId="1" applyFont="1" applyFill="1" applyBorder="1" applyAlignment="1" applyProtection="1">
      <alignment horizontal="center" vertical="top"/>
      <protection locked="0"/>
    </xf>
    <xf numFmtId="0" fontId="37" fillId="0" borderId="27" xfId="0" applyFont="1" applyBorder="1" applyAlignment="1">
      <alignment horizontal="center" vertical="top"/>
    </xf>
    <xf numFmtId="43" fontId="15" fillId="0" borderId="27" xfId="1" applyFont="1" applyFill="1" applyBorder="1" applyAlignment="1" applyProtection="1">
      <alignment horizontal="right" vertical="top"/>
      <protection hidden="1"/>
    </xf>
    <xf numFmtId="43" fontId="42" fillId="0" borderId="27" xfId="1" applyFont="1" applyFill="1" applyBorder="1" applyAlignment="1" applyProtection="1">
      <alignment horizontal="right" vertical="top"/>
      <protection hidden="1"/>
    </xf>
    <xf numFmtId="0" fontId="42" fillId="0" borderId="27" xfId="0" applyFont="1" applyBorder="1" applyAlignment="1">
      <alignment horizontal="center" vertical="top"/>
    </xf>
    <xf numFmtId="0" fontId="37" fillId="0" borderId="27" xfId="0" applyFont="1" applyBorder="1" applyAlignment="1">
      <alignment horizontal="center"/>
    </xf>
    <xf numFmtId="43" fontId="15" fillId="0" borderId="27" xfId="1" applyFont="1" applyFill="1" applyBorder="1" applyAlignment="1" applyProtection="1">
      <alignment horizontal="right" vertical="center"/>
      <protection hidden="1"/>
    </xf>
    <xf numFmtId="43" fontId="42" fillId="0" borderId="27" xfId="1" applyFont="1" applyFill="1" applyBorder="1" applyAlignment="1" applyProtection="1">
      <alignment horizontal="right" vertical="center"/>
      <protection hidden="1"/>
    </xf>
    <xf numFmtId="0" fontId="42" fillId="0" borderId="27" xfId="0" applyFont="1" applyBorder="1" applyAlignment="1">
      <alignment horizontal="center"/>
    </xf>
    <xf numFmtId="0" fontId="36" fillId="18" borderId="27" xfId="0" applyFont="1" applyFill="1" applyBorder="1" applyAlignment="1">
      <alignment horizontal="center"/>
    </xf>
    <xf numFmtId="43" fontId="37" fillId="18" borderId="27" xfId="1" applyFont="1" applyFill="1" applyBorder="1" applyAlignment="1" applyProtection="1">
      <alignment horizontal="center" vertical="center"/>
      <protection locked="0"/>
    </xf>
    <xf numFmtId="0" fontId="37" fillId="18" borderId="27" xfId="0" applyFont="1" applyFill="1" applyBorder="1" applyAlignment="1">
      <alignment horizontal="center"/>
    </xf>
    <xf numFmtId="43" fontId="15" fillId="18" borderId="27" xfId="1" applyFont="1" applyFill="1" applyBorder="1" applyAlignment="1" applyProtection="1">
      <alignment horizontal="right" vertical="center"/>
      <protection hidden="1"/>
    </xf>
    <xf numFmtId="43" fontId="15" fillId="18" borderId="27" xfId="1" applyFont="1" applyFill="1" applyBorder="1" applyAlignment="1" applyProtection="1">
      <alignment horizontal="right" vertical="center"/>
      <protection locked="0"/>
    </xf>
    <xf numFmtId="43" fontId="14" fillId="18" borderId="27" xfId="1" applyFont="1" applyFill="1" applyBorder="1" applyAlignment="1" applyProtection="1">
      <alignment horizontal="right" vertical="center"/>
      <protection hidden="1"/>
    </xf>
    <xf numFmtId="0" fontId="42" fillId="18" borderId="27" xfId="0" applyFont="1" applyFill="1" applyBorder="1" applyAlignment="1">
      <alignment horizontal="center"/>
    </xf>
    <xf numFmtId="43" fontId="15" fillId="20" borderId="27" xfId="1" applyFont="1" applyFill="1" applyBorder="1" applyAlignment="1" applyProtection="1">
      <alignment horizontal="right" vertical="center"/>
      <protection hidden="1"/>
    </xf>
    <xf numFmtId="43" fontId="15" fillId="20" borderId="27" xfId="1" applyFont="1" applyFill="1" applyBorder="1" applyAlignment="1" applyProtection="1">
      <alignment horizontal="right" vertical="center"/>
      <protection locked="0"/>
    </xf>
    <xf numFmtId="43" fontId="37" fillId="0" borderId="27" xfId="1" applyFont="1" applyFill="1" applyBorder="1"/>
    <xf numFmtId="43" fontId="42" fillId="0" borderId="27" xfId="1" applyFont="1" applyFill="1" applyBorder="1"/>
    <xf numFmtId="43" fontId="37" fillId="18" borderId="27" xfId="1" applyFont="1" applyFill="1" applyBorder="1" applyAlignment="1" applyProtection="1">
      <alignment horizontal="right" vertical="center"/>
      <protection hidden="1"/>
    </xf>
    <xf numFmtId="43" fontId="42" fillId="18" borderId="27" xfId="1" applyFont="1" applyFill="1" applyBorder="1"/>
    <xf numFmtId="43" fontId="42" fillId="18" borderId="27" xfId="1" applyFont="1" applyFill="1" applyBorder="1" applyAlignment="1" applyProtection="1">
      <alignment horizontal="right" vertical="center"/>
      <protection hidden="1"/>
    </xf>
    <xf numFmtId="0" fontId="37" fillId="17" borderId="27" xfId="0" applyFont="1" applyFill="1" applyBorder="1" applyAlignment="1">
      <alignment horizontal="center"/>
    </xf>
    <xf numFmtId="0" fontId="61" fillId="17" borderId="27" xfId="0" applyFont="1" applyFill="1" applyBorder="1" applyAlignment="1">
      <alignment horizontal="left"/>
    </xf>
    <xf numFmtId="43" fontId="37" fillId="17" borderId="27" xfId="1" applyFont="1" applyFill="1" applyBorder="1" applyAlignment="1" applyProtection="1">
      <alignment horizontal="center" vertical="center"/>
      <protection locked="0"/>
    </xf>
    <xf numFmtId="43" fontId="37" fillId="17" borderId="27" xfId="1" applyFont="1" applyFill="1" applyBorder="1" applyAlignment="1" applyProtection="1">
      <alignment horizontal="right" vertical="center"/>
      <protection locked="0"/>
    </xf>
    <xf numFmtId="43" fontId="37" fillId="17" borderId="27" xfId="1" applyFont="1" applyFill="1" applyBorder="1" applyAlignment="1" applyProtection="1">
      <alignment horizontal="right" vertical="center"/>
      <protection hidden="1"/>
    </xf>
    <xf numFmtId="0" fontId="37" fillId="12" borderId="27" xfId="0" applyFont="1" applyFill="1" applyBorder="1" applyAlignment="1">
      <alignment horizontal="center"/>
    </xf>
    <xf numFmtId="43" fontId="37" fillId="12" borderId="27" xfId="1" applyFont="1" applyFill="1" applyBorder="1" applyAlignment="1" applyProtection="1">
      <alignment horizontal="center" vertical="center"/>
      <protection locked="0"/>
    </xf>
    <xf numFmtId="43" fontId="37" fillId="12" borderId="27" xfId="39" applyFont="1" applyFill="1" applyBorder="1"/>
    <xf numFmtId="43" fontId="37" fillId="12" borderId="27" xfId="1" applyFont="1" applyFill="1" applyBorder="1" applyAlignment="1" applyProtection="1">
      <alignment horizontal="right" vertical="center"/>
      <protection hidden="1"/>
    </xf>
    <xf numFmtId="43" fontId="16" fillId="12" borderId="27" xfId="1" applyFont="1" applyFill="1" applyBorder="1" applyAlignment="1" applyProtection="1">
      <alignment horizontal="right" vertical="center"/>
      <protection hidden="1"/>
    </xf>
    <xf numFmtId="43" fontId="37" fillId="18" borderId="27" xfId="39" applyFont="1" applyFill="1" applyBorder="1"/>
    <xf numFmtId="43" fontId="16" fillId="18" borderId="27" xfId="1" applyFont="1" applyFill="1" applyBorder="1" applyAlignment="1" applyProtection="1">
      <alignment horizontal="right" vertical="center"/>
      <protection hidden="1"/>
    </xf>
    <xf numFmtId="0" fontId="43" fillId="20" borderId="27" xfId="0" applyFont="1" applyFill="1" applyBorder="1" applyAlignment="1">
      <alignment horizontal="left"/>
    </xf>
    <xf numFmtId="0" fontId="36" fillId="12" borderId="27" xfId="0" applyFont="1" applyFill="1" applyBorder="1" applyAlignment="1">
      <alignment horizontal="center"/>
    </xf>
    <xf numFmtId="43" fontId="16" fillId="12" borderId="27" xfId="1" applyFont="1" applyFill="1" applyBorder="1" applyAlignment="1" applyProtection="1">
      <alignment horizontal="center" vertical="center"/>
      <protection hidden="1"/>
    </xf>
    <xf numFmtId="2" fontId="36" fillId="20" borderId="27" xfId="0" applyNumberFormat="1" applyFont="1" applyFill="1" applyBorder="1" applyAlignment="1">
      <alignment horizontal="center"/>
    </xf>
    <xf numFmtId="0" fontId="22" fillId="20" borderId="27" xfId="0" applyFont="1" applyFill="1" applyBorder="1" applyAlignment="1">
      <alignment horizontal="left"/>
    </xf>
    <xf numFmtId="43" fontId="15" fillId="20" borderId="27" xfId="1" applyFont="1" applyFill="1" applyBorder="1" applyAlignment="1" applyProtection="1">
      <alignment horizontal="center" vertical="center"/>
      <protection locked="0"/>
    </xf>
    <xf numFmtId="43" fontId="15" fillId="0" borderId="27" xfId="39" applyFont="1" applyFill="1" applyBorder="1"/>
    <xf numFmtId="43" fontId="15" fillId="18" borderId="27" xfId="1" applyFont="1" applyFill="1" applyBorder="1" applyAlignment="1" applyProtection="1">
      <alignment horizontal="center" vertical="center"/>
      <protection locked="0"/>
    </xf>
    <xf numFmtId="43" fontId="15" fillId="18" borderId="27" xfId="39" applyFont="1" applyFill="1" applyBorder="1"/>
    <xf numFmtId="1" fontId="16" fillId="20" borderId="27" xfId="51" applyNumberFormat="1" applyFont="1" applyFill="1" applyBorder="1" applyAlignment="1" applyProtection="1">
      <alignment vertical="center"/>
      <protection locked="0"/>
    </xf>
    <xf numFmtId="165" fontId="16" fillId="20" borderId="27" xfId="50" applyFont="1" applyFill="1" applyBorder="1" applyAlignment="1" applyProtection="1">
      <alignment vertical="center"/>
      <protection locked="0"/>
    </xf>
    <xf numFmtId="0" fontId="16" fillId="20" borderId="27" xfId="11" applyNumberFormat="1" applyFont="1" applyFill="1" applyBorder="1" applyAlignment="1">
      <alignment horizontal="center" vertical="center"/>
    </xf>
    <xf numFmtId="41" fontId="15" fillId="20" borderId="27" xfId="11" applyFont="1" applyFill="1" applyBorder="1" applyAlignment="1"/>
    <xf numFmtId="165" fontId="15" fillId="20" borderId="27" xfId="48" applyFont="1" applyFill="1" applyBorder="1" applyAlignment="1">
      <alignment vertical="center"/>
    </xf>
    <xf numFmtId="0" fontId="55" fillId="17" borderId="27" xfId="0" applyFont="1" applyFill="1" applyBorder="1" applyAlignment="1">
      <alignment horizontal="left"/>
    </xf>
    <xf numFmtId="43" fontId="15" fillId="17" borderId="27" xfId="1" applyFont="1" applyFill="1" applyBorder="1" applyAlignment="1" applyProtection="1">
      <alignment horizontal="center" vertical="center"/>
      <protection locked="0"/>
    </xf>
    <xf numFmtId="43" fontId="15" fillId="17" borderId="27" xfId="1" applyFont="1" applyFill="1" applyBorder="1" applyAlignment="1" applyProtection="1">
      <alignment horizontal="right" vertical="center"/>
      <protection locked="0"/>
    </xf>
    <xf numFmtId="43" fontId="15" fillId="17" borderId="27" xfId="1" applyFont="1" applyFill="1" applyBorder="1" applyAlignment="1" applyProtection="1">
      <alignment horizontal="right" vertical="center"/>
      <protection hidden="1"/>
    </xf>
    <xf numFmtId="43" fontId="16" fillId="12" borderId="27" xfId="1" applyFont="1" applyFill="1" applyBorder="1" applyAlignment="1" applyProtection="1">
      <alignment horizontal="center" vertical="center"/>
      <protection locked="0"/>
    </xf>
    <xf numFmtId="43" fontId="16" fillId="12" borderId="27" xfId="39" applyFont="1" applyFill="1" applyBorder="1"/>
    <xf numFmtId="43" fontId="15" fillId="12" borderId="27" xfId="1" applyFont="1" applyFill="1" applyBorder="1" applyAlignment="1" applyProtection="1">
      <alignment horizontal="center" vertical="center"/>
      <protection locked="0"/>
    </xf>
    <xf numFmtId="43" fontId="15" fillId="12" borderId="27" xfId="1" applyFont="1" applyFill="1" applyBorder="1" applyAlignment="1" applyProtection="1">
      <alignment horizontal="right" vertical="center"/>
      <protection locked="0"/>
    </xf>
    <xf numFmtId="43" fontId="15" fillId="12" borderId="27" xfId="39" applyFont="1" applyFill="1" applyBorder="1"/>
    <xf numFmtId="43" fontId="15" fillId="12" borderId="27" xfId="1" applyFont="1" applyFill="1" applyBorder="1" applyAlignment="1" applyProtection="1">
      <alignment horizontal="right" vertical="center"/>
      <protection hidden="1"/>
    </xf>
    <xf numFmtId="1" fontId="16" fillId="20" borderId="27" xfId="51" applyNumberFormat="1" applyFont="1" applyFill="1" applyBorder="1" applyAlignment="1" applyProtection="1">
      <alignment vertical="top"/>
      <protection locked="0"/>
    </xf>
    <xf numFmtId="41" fontId="15" fillId="20" borderId="27" xfId="11" applyFont="1" applyFill="1" applyBorder="1" applyAlignment="1">
      <alignment vertical="top"/>
    </xf>
    <xf numFmtId="0" fontId="15" fillId="0" borderId="27" xfId="0" applyFont="1" applyBorder="1" applyAlignment="1">
      <alignment vertical="top" shrinkToFit="1"/>
    </xf>
    <xf numFmtId="165" fontId="15" fillId="0" borderId="27" xfId="50" applyFont="1" applyBorder="1" applyAlignment="1" applyProtection="1">
      <alignment vertical="top"/>
      <protection locked="0"/>
    </xf>
    <xf numFmtId="43" fontId="15" fillId="0" borderId="27" xfId="1" applyFont="1" applyBorder="1" applyAlignment="1" applyProtection="1">
      <alignment vertical="top"/>
      <protection locked="0"/>
    </xf>
    <xf numFmtId="2" fontId="15" fillId="0" borderId="27" xfId="0" applyNumberFormat="1" applyFont="1" applyBorder="1" applyAlignment="1">
      <alignment vertical="top" shrinkToFit="1"/>
    </xf>
    <xf numFmtId="43" fontId="15" fillId="0" borderId="27" xfId="39" applyFont="1" applyBorder="1" applyAlignment="1">
      <alignment vertical="top"/>
    </xf>
    <xf numFmtId="0" fontId="15" fillId="0" borderId="27" xfId="21" applyNumberFormat="1" applyFont="1" applyFill="1" applyBorder="1" applyAlignment="1">
      <alignment horizontal="center" vertical="top"/>
    </xf>
    <xf numFmtId="1" fontId="15" fillId="0" borderId="27" xfId="51" applyNumberFormat="1" applyFont="1" applyBorder="1" applyAlignment="1" applyProtection="1">
      <alignment vertical="top"/>
      <protection locked="0"/>
    </xf>
    <xf numFmtId="43" fontId="15" fillId="0" borderId="27" xfId="39" applyFont="1" applyBorder="1" applyAlignment="1" applyProtection="1">
      <alignment vertical="top"/>
      <protection locked="0"/>
    </xf>
    <xf numFmtId="43" fontId="37" fillId="0" borderId="0" xfId="0" applyNumberFormat="1" applyFont="1"/>
    <xf numFmtId="0" fontId="15" fillId="17" borderId="27" xfId="0" quotePrefix="1" applyFont="1" applyFill="1" applyBorder="1" applyAlignment="1">
      <alignment horizontal="left"/>
    </xf>
    <xf numFmtId="0" fontId="37" fillId="17" borderId="27" xfId="0" applyFont="1" applyFill="1" applyBorder="1"/>
    <xf numFmtId="0" fontId="37" fillId="17" borderId="27" xfId="0" applyFont="1" applyFill="1" applyBorder="1" applyAlignment="1">
      <alignment horizontal="left"/>
    </xf>
    <xf numFmtId="43" fontId="42" fillId="17" borderId="27" xfId="1" applyFont="1" applyFill="1" applyBorder="1" applyAlignment="1" applyProtection="1">
      <alignment horizontal="right" vertical="center"/>
      <protection hidden="1"/>
    </xf>
    <xf numFmtId="0" fontId="42" fillId="17" borderId="27" xfId="0" applyFont="1" applyFill="1" applyBorder="1" applyAlignment="1">
      <alignment horizontal="center"/>
    </xf>
    <xf numFmtId="0" fontId="70" fillId="0" borderId="0" xfId="3" applyFont="1" applyAlignment="1">
      <alignment horizontal="center"/>
    </xf>
    <xf numFmtId="0" fontId="67" fillId="0" borderId="0" xfId="3" applyFont="1" applyAlignment="1">
      <alignment horizontal="center"/>
    </xf>
    <xf numFmtId="0" fontId="68" fillId="0" borderId="0" xfId="3" applyFont="1" applyAlignment="1">
      <alignment horizontal="center"/>
    </xf>
    <xf numFmtId="0" fontId="69" fillId="0" borderId="0" xfId="3" applyFont="1" applyAlignment="1">
      <alignment horizontal="center"/>
    </xf>
    <xf numFmtId="43" fontId="16" fillId="23" borderId="27" xfId="1" applyFont="1" applyFill="1" applyBorder="1" applyAlignment="1">
      <alignment horizontal="center" vertical="center"/>
    </xf>
    <xf numFmtId="43" fontId="16" fillId="23" borderId="30" xfId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 wrapText="1"/>
    </xf>
    <xf numFmtId="0" fontId="63" fillId="2" borderId="0" xfId="2" applyFont="1" applyFill="1" applyAlignment="1">
      <alignment horizontal="center" vertical="center" wrapText="1"/>
    </xf>
    <xf numFmtId="43" fontId="37" fillId="0" borderId="27" xfId="1" applyFont="1" applyBorder="1" applyAlignment="1">
      <alignment horizontal="center" vertical="top"/>
    </xf>
    <xf numFmtId="43" fontId="15" fillId="0" borderId="27" xfId="39" applyFont="1" applyFill="1" applyBorder="1" applyAlignment="1">
      <alignment horizontal="center" vertical="top"/>
    </xf>
    <xf numFmtId="165" fontId="15" fillId="2" borderId="27" xfId="60" applyNumberFormat="1" applyFont="1" applyFill="1" applyBorder="1" applyAlignment="1">
      <alignment horizontal="center"/>
    </xf>
    <xf numFmtId="165" fontId="15" fillId="17" borderId="27" xfId="60" applyNumberFormat="1" applyFont="1" applyFill="1" applyBorder="1" applyAlignment="1">
      <alignment horizontal="center"/>
    </xf>
    <xf numFmtId="0" fontId="16" fillId="23" borderId="0" xfId="2" applyFont="1" applyFill="1" applyAlignment="1">
      <alignment horizontal="center" vertical="center" wrapText="1"/>
    </xf>
    <xf numFmtId="0" fontId="64" fillId="0" borderId="0" xfId="0" applyFont="1"/>
    <xf numFmtId="0" fontId="72" fillId="0" borderId="0" xfId="0" applyFont="1"/>
    <xf numFmtId="0" fontId="63" fillId="0" borderId="0" xfId="0" applyFont="1" applyAlignment="1">
      <alignment vertical="top"/>
    </xf>
    <xf numFmtId="0" fontId="63" fillId="0" borderId="0" xfId="0" applyFont="1" applyAlignment="1">
      <alignment vertical="center"/>
    </xf>
    <xf numFmtId="0" fontId="71" fillId="0" borderId="0" xfId="0" applyFont="1"/>
    <xf numFmtId="0" fontId="64" fillId="0" borderId="27" xfId="0" applyFont="1" applyBorder="1" applyAlignment="1">
      <alignment horizontal="center" vertical="center"/>
    </xf>
    <xf numFmtId="43" fontId="64" fillId="0" borderId="27" xfId="1" applyFont="1" applyBorder="1" applyAlignment="1">
      <alignment horizontal="right" vertical="center"/>
    </xf>
    <xf numFmtId="43" fontId="63" fillId="0" borderId="27" xfId="1" applyFont="1" applyBorder="1" applyAlignment="1">
      <alignment horizontal="right" vertical="center"/>
    </xf>
    <xf numFmtId="0" fontId="63" fillId="0" borderId="27" xfId="0" applyFont="1" applyBorder="1" applyAlignment="1">
      <alignment horizontal="center" vertical="center"/>
    </xf>
    <xf numFmtId="43" fontId="64" fillId="0" borderId="0" xfId="1" applyFont="1" applyAlignment="1">
      <alignment vertical="center"/>
    </xf>
    <xf numFmtId="43" fontId="64" fillId="0" borderId="0" xfId="0" applyNumberFormat="1" applyFont="1" applyAlignment="1">
      <alignment vertical="center"/>
    </xf>
    <xf numFmtId="0" fontId="73" fillId="0" borderId="0" xfId="0" applyFont="1"/>
    <xf numFmtId="0" fontId="74" fillId="0" borderId="0" xfId="0" applyFont="1"/>
    <xf numFmtId="0" fontId="75" fillId="0" borderId="38" xfId="0" applyFont="1" applyBorder="1"/>
    <xf numFmtId="0" fontId="67" fillId="0" borderId="0" xfId="0" applyFont="1"/>
    <xf numFmtId="0" fontId="68" fillId="0" borderId="0" xfId="0" applyFont="1" applyAlignment="1">
      <alignment horizontal="right"/>
    </xf>
    <xf numFmtId="0" fontId="68" fillId="0" borderId="0" xfId="0" applyFont="1" applyAlignment="1">
      <alignment vertical="top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top" wrapText="1"/>
    </xf>
    <xf numFmtId="0" fontId="68" fillId="0" borderId="0" xfId="0" applyFont="1"/>
    <xf numFmtId="0" fontId="68" fillId="4" borderId="27" xfId="0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27" xfId="0" applyFont="1" applyBorder="1" applyAlignment="1">
      <alignment horizontal="center" vertical="center"/>
    </xf>
    <xf numFmtId="43" fontId="67" fillId="0" borderId="27" xfId="1" applyFont="1" applyBorder="1" applyAlignment="1">
      <alignment horizontal="right" vertical="center"/>
    </xf>
    <xf numFmtId="0" fontId="76" fillId="0" borderId="34" xfId="0" applyFont="1" applyBorder="1" applyAlignment="1">
      <alignment horizontal="center"/>
    </xf>
    <xf numFmtId="43" fontId="68" fillId="0" borderId="27" xfId="1" applyFont="1" applyBorder="1" applyAlignment="1">
      <alignment horizontal="right" vertical="center"/>
    </xf>
    <xf numFmtId="0" fontId="68" fillId="0" borderId="27" xfId="0" applyFont="1" applyBorder="1" applyAlignment="1">
      <alignment horizontal="center" vertical="center"/>
    </xf>
    <xf numFmtId="43" fontId="77" fillId="0" borderId="36" xfId="1" applyFont="1" applyFill="1" applyBorder="1" applyAlignment="1">
      <alignment vertical="center"/>
    </xf>
    <xf numFmtId="165" fontId="67" fillId="0" borderId="0" xfId="0" applyNumberFormat="1" applyFont="1" applyAlignment="1">
      <alignment vertical="center"/>
    </xf>
    <xf numFmtId="43" fontId="67" fillId="0" borderId="0" xfId="1" applyFont="1" applyAlignment="1">
      <alignment vertical="center"/>
    </xf>
    <xf numFmtId="43" fontId="76" fillId="0" borderId="27" xfId="0" applyNumberFormat="1" applyFont="1" applyBorder="1"/>
    <xf numFmtId="43" fontId="77" fillId="0" borderId="27" xfId="0" applyNumberFormat="1" applyFont="1" applyBorder="1" applyAlignment="1">
      <alignment vertical="center"/>
    </xf>
    <xf numFmtId="43" fontId="67" fillId="0" borderId="0" xfId="0" applyNumberFormat="1" applyFont="1" applyAlignment="1">
      <alignment vertical="center"/>
    </xf>
    <xf numFmtId="0" fontId="76" fillId="0" borderId="35" xfId="0" applyFont="1" applyBorder="1"/>
    <xf numFmtId="0" fontId="76" fillId="0" borderId="0" xfId="0" applyFont="1"/>
    <xf numFmtId="0" fontId="75" fillId="0" borderId="0" xfId="0" applyFont="1"/>
    <xf numFmtId="9" fontId="69" fillId="0" borderId="18" xfId="0" applyNumberFormat="1" applyFont="1" applyBorder="1"/>
    <xf numFmtId="182" fontId="69" fillId="0" borderId="0" xfId="0" applyNumberFormat="1" applyFont="1"/>
    <xf numFmtId="0" fontId="69" fillId="0" borderId="0" xfId="0" applyFont="1"/>
    <xf numFmtId="0" fontId="67" fillId="0" borderId="39" xfId="0" applyFont="1" applyBorder="1"/>
    <xf numFmtId="43" fontId="67" fillId="0" borderId="0" xfId="0" applyNumberFormat="1" applyFont="1"/>
    <xf numFmtId="0" fontId="76" fillId="0" borderId="0" xfId="0" applyFont="1" applyBorder="1" applyAlignment="1">
      <alignment horizontal="center" vertical="center"/>
    </xf>
    <xf numFmtId="0" fontId="75" fillId="0" borderId="0" xfId="0" applyFont="1" applyBorder="1"/>
    <xf numFmtId="0" fontId="67" fillId="0" borderId="0" xfId="0" applyFont="1" applyBorder="1"/>
    <xf numFmtId="0" fontId="64" fillId="0" borderId="0" xfId="0" applyFont="1" applyAlignment="1">
      <alignment horizontal="right"/>
    </xf>
    <xf numFmtId="43" fontId="64" fillId="0" borderId="0" xfId="1" applyFont="1"/>
    <xf numFmtId="43" fontId="72" fillId="0" borderId="0" xfId="1" applyFont="1"/>
    <xf numFmtId="43" fontId="71" fillId="0" borderId="0" xfId="1" applyFont="1"/>
    <xf numFmtId="178" fontId="63" fillId="0" borderId="0" xfId="0" applyNumberFormat="1" applyFont="1" applyAlignment="1">
      <alignment vertical="top" wrapText="1"/>
    </xf>
    <xf numFmtId="0" fontId="64" fillId="0" borderId="0" xfId="0" applyFont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43" fontId="64" fillId="0" borderId="1" xfId="1" applyFont="1" applyBorder="1" applyAlignment="1">
      <alignment horizontal="right" vertical="center"/>
    </xf>
    <xf numFmtId="168" fontId="64" fillId="0" borderId="1" xfId="1" applyNumberFormat="1" applyFont="1" applyBorder="1" applyAlignment="1">
      <alignment horizontal="right" vertical="center"/>
    </xf>
    <xf numFmtId="43" fontId="64" fillId="0" borderId="1" xfId="1" applyFont="1" applyBorder="1" applyAlignment="1">
      <alignment vertical="center"/>
    </xf>
    <xf numFmtId="43" fontId="64" fillId="0" borderId="27" xfId="1" applyFont="1" applyBorder="1" applyAlignment="1">
      <alignment vertical="center"/>
    </xf>
    <xf numFmtId="43" fontId="66" fillId="0" borderId="0" xfId="1" applyFont="1" applyAlignment="1">
      <alignment vertical="center"/>
    </xf>
    <xf numFmtId="0" fontId="66" fillId="0" borderId="0" xfId="0" applyFont="1" applyAlignment="1">
      <alignment vertical="center"/>
    </xf>
    <xf numFmtId="10" fontId="64" fillId="0" borderId="1" xfId="32" applyNumberFormat="1" applyFont="1" applyBorder="1" applyAlignment="1">
      <alignment vertical="center"/>
    </xf>
    <xf numFmtId="0" fontId="64" fillId="0" borderId="1" xfId="0" applyFont="1" applyBorder="1" applyAlignment="1">
      <alignment horizontal="right" vertical="center"/>
    </xf>
    <xf numFmtId="43" fontId="63" fillId="0" borderId="1" xfId="1" applyFont="1" applyBorder="1" applyAlignment="1">
      <alignment horizontal="right" vertical="center"/>
    </xf>
    <xf numFmtId="0" fontId="64" fillId="0" borderId="3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43" fontId="63" fillId="0" borderId="22" xfId="0" applyNumberFormat="1" applyFont="1" applyBorder="1"/>
    <xf numFmtId="0" fontId="64" fillId="0" borderId="22" xfId="0" applyFont="1" applyBorder="1"/>
    <xf numFmtId="43" fontId="74" fillId="0" borderId="0" xfId="1" applyFont="1"/>
    <xf numFmtId="43" fontId="73" fillId="0" borderId="10" xfId="1" applyFont="1" applyBorder="1" applyAlignment="1">
      <alignment horizontal="center"/>
    </xf>
    <xf numFmtId="0" fontId="73" fillId="0" borderId="0" xfId="0" applyFont="1" applyAlignment="1">
      <alignment horizontal="right"/>
    </xf>
    <xf numFmtId="43" fontId="73" fillId="0" borderId="28" xfId="0" applyNumberFormat="1" applyFont="1" applyBorder="1"/>
    <xf numFmtId="0" fontId="64" fillId="0" borderId="0" xfId="0" applyFont="1" applyAlignment="1">
      <alignment horizontal="center"/>
    </xf>
    <xf numFmtId="0" fontId="63" fillId="0" borderId="0" xfId="0" applyFont="1" applyAlignment="1">
      <alignment horizontal="left" vertical="top"/>
    </xf>
    <xf numFmtId="0" fontId="63" fillId="0" borderId="0" xfId="0" applyFont="1" applyAlignment="1">
      <alignment horizontal="center" vertical="top"/>
    </xf>
    <xf numFmtId="0" fontId="63" fillId="0" borderId="2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43" fontId="64" fillId="0" borderId="7" xfId="1" applyFont="1" applyBorder="1" applyAlignment="1">
      <alignment horizontal="right" vertical="center"/>
    </xf>
    <xf numFmtId="0" fontId="64" fillId="0" borderId="35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43" fontId="64" fillId="0" borderId="0" xfId="1" applyFont="1" applyBorder="1" applyAlignment="1">
      <alignment horizontal="right" vertical="center"/>
    </xf>
    <xf numFmtId="43" fontId="63" fillId="0" borderId="0" xfId="1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4" fillId="0" borderId="30" xfId="0" applyFont="1" applyBorder="1" applyAlignment="1">
      <alignment horizontal="center" vertical="center"/>
    </xf>
    <xf numFmtId="0" fontId="64" fillId="0" borderId="28" xfId="0" applyFont="1" applyBorder="1" applyAlignment="1">
      <alignment horizontal="left" vertical="center"/>
    </xf>
    <xf numFmtId="43" fontId="63" fillId="0" borderId="28" xfId="1" applyFont="1" applyBorder="1" applyAlignment="1">
      <alignment horizontal="right" vertical="center"/>
    </xf>
    <xf numFmtId="43" fontId="63" fillId="0" borderId="29" xfId="1" applyFont="1" applyBorder="1" applyAlignment="1">
      <alignment horizontal="right" vertical="center"/>
    </xf>
    <xf numFmtId="180" fontId="63" fillId="0" borderId="1" xfId="1" applyNumberFormat="1" applyFont="1" applyBorder="1" applyAlignment="1">
      <alignment horizontal="right" vertical="center"/>
    </xf>
    <xf numFmtId="0" fontId="64" fillId="0" borderId="20" xfId="0" applyFont="1" applyBorder="1" applyAlignment="1">
      <alignment horizontal="left" vertical="center"/>
    </xf>
    <xf numFmtId="0" fontId="64" fillId="0" borderId="9" xfId="0" applyFont="1" applyBorder="1" applyAlignment="1">
      <alignment horizontal="left" vertical="center"/>
    </xf>
    <xf numFmtId="0" fontId="70" fillId="0" borderId="0" xfId="3" applyFont="1" applyBorder="1"/>
    <xf numFmtId="0" fontId="67" fillId="0" borderId="0" xfId="3" applyFont="1" applyBorder="1" applyAlignment="1">
      <alignment horizontal="center"/>
    </xf>
    <xf numFmtId="0" fontId="64" fillId="0" borderId="0" xfId="0" applyFont="1" applyBorder="1"/>
    <xf numFmtId="0" fontId="65" fillId="0" borderId="0" xfId="0" applyFont="1" applyBorder="1"/>
    <xf numFmtId="0" fontId="74" fillId="0" borderId="0" xfId="0" applyFont="1" applyBorder="1"/>
    <xf numFmtId="1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5" fillId="8" borderId="27" xfId="0" applyFont="1" applyFill="1" applyBorder="1"/>
    <xf numFmtId="43" fontId="15" fillId="8" borderId="27" xfId="1" applyFont="1" applyFill="1" applyBorder="1"/>
    <xf numFmtId="17" fontId="64" fillId="0" borderId="0" xfId="0" applyNumberFormat="1" applyFont="1" applyAlignment="1">
      <alignment horizontal="right"/>
    </xf>
    <xf numFmtId="0" fontId="64" fillId="0" borderId="0" xfId="0" applyFont="1" applyAlignment="1">
      <alignment horizontal="left"/>
    </xf>
    <xf numFmtId="0" fontId="64" fillId="8" borderId="27" xfId="0" applyFont="1" applyFill="1" applyBorder="1"/>
    <xf numFmtId="43" fontId="64" fillId="8" borderId="27" xfId="1" applyFont="1" applyFill="1" applyBorder="1"/>
    <xf numFmtId="43" fontId="15" fillId="0" borderId="0" xfId="1" applyFont="1" applyAlignment="1">
      <alignment horizontal="left" vertical="top"/>
    </xf>
    <xf numFmtId="0" fontId="78" fillId="0" borderId="0" xfId="65" applyFont="1" applyFill="1"/>
    <xf numFmtId="0" fontId="15" fillId="20" borderId="27" xfId="11" applyNumberFormat="1" applyFont="1" applyFill="1" applyBorder="1" applyAlignment="1">
      <alignment horizontal="center" vertical="top"/>
    </xf>
    <xf numFmtId="43" fontId="15" fillId="20" borderId="27" xfId="39" applyFont="1" applyFill="1" applyBorder="1" applyAlignment="1">
      <alignment vertical="top"/>
    </xf>
    <xf numFmtId="49" fontId="15" fillId="0" borderId="27" xfId="66" applyNumberFormat="1" applyFont="1" applyBorder="1" applyAlignment="1">
      <alignment vertical="top"/>
    </xf>
    <xf numFmtId="43" fontId="15" fillId="18" borderId="27" xfId="0" applyNumberFormat="1" applyFont="1" applyFill="1" applyBorder="1" applyAlignment="1">
      <alignment horizontal="center"/>
    </xf>
    <xf numFmtId="0" fontId="63" fillId="16" borderId="5" xfId="0" applyFont="1" applyFill="1" applyBorder="1" applyAlignment="1">
      <alignment horizontal="center"/>
    </xf>
    <xf numFmtId="0" fontId="63" fillId="16" borderId="11" xfId="0" applyFont="1" applyFill="1" applyBorder="1" applyAlignment="1">
      <alignment horizontal="center"/>
    </xf>
    <xf numFmtId="43" fontId="63" fillId="16" borderId="5" xfId="1" applyFont="1" applyFill="1" applyBorder="1" applyAlignment="1">
      <alignment horizontal="center"/>
    </xf>
    <xf numFmtId="0" fontId="63" fillId="16" borderId="16" xfId="0" applyFont="1" applyFill="1" applyBorder="1" applyAlignment="1">
      <alignment horizontal="center"/>
    </xf>
    <xf numFmtId="43" fontId="63" fillId="16" borderId="5" xfId="1" applyFont="1" applyFill="1" applyBorder="1"/>
    <xf numFmtId="43" fontId="63" fillId="16" borderId="17" xfId="1" applyFont="1" applyFill="1" applyBorder="1"/>
    <xf numFmtId="43" fontId="63" fillId="16" borderId="5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/>
    </xf>
    <xf numFmtId="43" fontId="15" fillId="2" borderId="5" xfId="1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43" fontId="15" fillId="2" borderId="5" xfId="0" applyNumberFormat="1" applyFont="1" applyFill="1" applyBorder="1" applyAlignment="1">
      <alignment horizontal="center"/>
    </xf>
    <xf numFmtId="0" fontId="16" fillId="20" borderId="34" xfId="0" applyFont="1" applyFill="1" applyBorder="1" applyAlignment="1">
      <alignment horizontal="left"/>
    </xf>
    <xf numFmtId="43" fontId="15" fillId="20" borderId="5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43" fontId="15" fillId="0" borderId="5" xfId="0" applyNumberFormat="1" applyFont="1" applyBorder="1" applyAlignment="1">
      <alignment horizontal="center"/>
    </xf>
    <xf numFmtId="43" fontId="15" fillId="16" borderId="27" xfId="1" applyFont="1" applyFill="1" applyBorder="1" applyAlignment="1">
      <alignment horizontal="center"/>
    </xf>
    <xf numFmtId="0" fontId="15" fillId="16" borderId="27" xfId="0" applyFont="1" applyFill="1" applyBorder="1" applyAlignment="1">
      <alignment horizontal="center"/>
    </xf>
    <xf numFmtId="43" fontId="15" fillId="16" borderId="27" xfId="1" applyFont="1" applyFill="1" applyBorder="1"/>
    <xf numFmtId="0" fontId="16" fillId="13" borderId="27" xfId="0" applyFont="1" applyFill="1" applyBorder="1" applyAlignment="1">
      <alignment horizontal="center"/>
    </xf>
    <xf numFmtId="43" fontId="15" fillId="13" borderId="27" xfId="1" applyFont="1" applyFill="1" applyBorder="1" applyAlignment="1">
      <alignment horizontal="center"/>
    </xf>
    <xf numFmtId="0" fontId="15" fillId="13" borderId="27" xfId="0" applyFont="1" applyFill="1" applyBorder="1" applyAlignment="1">
      <alignment horizontal="center"/>
    </xf>
    <xf numFmtId="43" fontId="15" fillId="13" borderId="27" xfId="1" applyFont="1" applyFill="1" applyBorder="1"/>
    <xf numFmtId="0" fontId="15" fillId="12" borderId="27" xfId="0" applyFont="1" applyFill="1" applyBorder="1" applyAlignment="1">
      <alignment vertical="top" wrapText="1"/>
    </xf>
    <xf numFmtId="0" fontId="15" fillId="18" borderId="27" xfId="0" applyFont="1" applyFill="1" applyBorder="1" applyAlignment="1">
      <alignment vertical="top" wrapText="1"/>
    </xf>
    <xf numFmtId="0" fontId="78" fillId="0" borderId="0" xfId="65" applyFont="1" applyAlignment="1">
      <alignment vertical="top"/>
    </xf>
    <xf numFmtId="0" fontId="15" fillId="15" borderId="27" xfId="0" applyFont="1" applyFill="1" applyBorder="1" applyAlignment="1">
      <alignment horizontal="center" vertical="center"/>
    </xf>
    <xf numFmtId="0" fontId="16" fillId="15" borderId="27" xfId="0" applyFont="1" applyFill="1" applyBorder="1" applyAlignment="1">
      <alignment horizontal="center" vertical="center"/>
    </xf>
    <xf numFmtId="43" fontId="16" fillId="15" borderId="27" xfId="1" applyFont="1" applyFill="1" applyBorder="1" applyAlignment="1">
      <alignment horizontal="center" vertical="center"/>
    </xf>
    <xf numFmtId="43" fontId="16" fillId="15" borderId="27" xfId="1" applyFont="1" applyFill="1" applyBorder="1" applyAlignment="1">
      <alignment vertical="center"/>
    </xf>
    <xf numFmtId="43" fontId="15" fillId="16" borderId="27" xfId="1" applyFont="1" applyFill="1" applyBorder="1" applyAlignment="1">
      <alignment vertical="top"/>
    </xf>
    <xf numFmtId="0" fontId="78" fillId="0" borderId="0" xfId="65" applyFont="1"/>
    <xf numFmtId="0" fontId="15" fillId="16" borderId="27" xfId="0" applyFont="1" applyFill="1" applyBorder="1" applyAlignment="1">
      <alignment horizontal="left" vertical="top" wrapText="1"/>
    </xf>
    <xf numFmtId="43" fontId="15" fillId="16" borderId="27" xfId="1" applyFont="1" applyFill="1" applyBorder="1" applyAlignment="1">
      <alignment horizontal="center" vertical="top"/>
    </xf>
    <xf numFmtId="0" fontId="15" fillId="14" borderId="27" xfId="0" applyFont="1" applyFill="1" applyBorder="1" applyAlignment="1">
      <alignment horizontal="center" vertical="center"/>
    </xf>
    <xf numFmtId="43" fontId="16" fillId="14" borderId="27" xfId="1" applyFont="1" applyFill="1" applyBorder="1" applyAlignment="1">
      <alignment horizontal="center" vertical="center"/>
    </xf>
    <xf numFmtId="43" fontId="16" fillId="14" borderId="27" xfId="1" applyFont="1" applyFill="1" applyBorder="1" applyAlignment="1">
      <alignment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27" xfId="0" applyFont="1" applyFill="1" applyBorder="1" applyAlignment="1">
      <alignment horizontal="center" vertical="center"/>
    </xf>
    <xf numFmtId="43" fontId="16" fillId="19" borderId="27" xfId="1" applyFont="1" applyFill="1" applyBorder="1" applyAlignment="1">
      <alignment horizontal="center" vertical="center"/>
    </xf>
    <xf numFmtId="43" fontId="16" fillId="19" borderId="27" xfId="1" applyFont="1" applyFill="1" applyBorder="1" applyAlignment="1">
      <alignment vertical="center"/>
    </xf>
    <xf numFmtId="0" fontId="15" fillId="0" borderId="27" xfId="22" applyFont="1" applyBorder="1" applyAlignment="1">
      <alignment horizontal="left" vertical="center" wrapText="1"/>
    </xf>
    <xf numFmtId="0" fontId="15" fillId="21" borderId="27" xfId="0" applyFont="1" applyFill="1" applyBorder="1" applyAlignment="1">
      <alignment horizontal="center" vertical="center"/>
    </xf>
    <xf numFmtId="43" fontId="16" fillId="21" borderId="27" xfId="1" applyFont="1" applyFill="1" applyBorder="1" applyAlignment="1">
      <alignment horizontal="center" vertical="center"/>
    </xf>
    <xf numFmtId="43" fontId="16" fillId="21" borderId="27" xfId="1" applyFont="1" applyFill="1" applyBorder="1" applyAlignment="1">
      <alignment vertical="center"/>
    </xf>
    <xf numFmtId="0" fontId="15" fillId="22" borderId="27" xfId="0" applyFont="1" applyFill="1" applyBorder="1" applyAlignment="1">
      <alignment horizontal="center"/>
    </xf>
    <xf numFmtId="43" fontId="15" fillId="22" borderId="27" xfId="1" applyFont="1" applyFill="1" applyBorder="1"/>
    <xf numFmtId="43" fontId="15" fillId="22" borderId="27" xfId="0" applyNumberFormat="1" applyFont="1" applyFill="1" applyBorder="1" applyAlignment="1">
      <alignment horizontal="center"/>
    </xf>
    <xf numFmtId="43" fontId="15" fillId="17" borderId="27" xfId="0" applyNumberFormat="1" applyFont="1" applyFill="1" applyBorder="1" applyAlignment="1">
      <alignment horizontal="center"/>
    </xf>
    <xf numFmtId="43" fontId="15" fillId="0" borderId="27" xfId="0" applyNumberFormat="1" applyFont="1" applyBorder="1" applyAlignment="1">
      <alignment horizontal="center"/>
    </xf>
    <xf numFmtId="0" fontId="16" fillId="12" borderId="27" xfId="12" quotePrefix="1" applyFont="1" applyFill="1" applyBorder="1" applyAlignment="1">
      <alignment horizontal="center"/>
    </xf>
    <xf numFmtId="43" fontId="15" fillId="12" borderId="27" xfId="0" applyNumberFormat="1" applyFont="1" applyFill="1" applyBorder="1" applyAlignment="1">
      <alignment horizontal="center"/>
    </xf>
    <xf numFmtId="0" fontId="16" fillId="12" borderId="27" xfId="22" applyFont="1" applyFill="1" applyBorder="1" applyAlignment="1">
      <alignment horizontal="center" vertical="center"/>
    </xf>
    <xf numFmtId="0" fontId="15" fillId="0" borderId="27" xfId="22" quotePrefix="1" applyFont="1" applyBorder="1" applyAlignment="1">
      <alignment horizontal="left" vertical="center" wrapText="1"/>
    </xf>
    <xf numFmtId="0" fontId="16" fillId="12" borderId="27" xfId="22" quotePrefix="1" applyFont="1" applyFill="1" applyBorder="1" applyAlignment="1">
      <alignment horizontal="center" vertical="center" wrapText="1"/>
    </xf>
    <xf numFmtId="0" fontId="37" fillId="12" borderId="27" xfId="33" applyFont="1" applyFill="1" applyBorder="1" applyAlignment="1">
      <alignment horizontal="center" vertical="center"/>
    </xf>
    <xf numFmtId="43" fontId="37" fillId="12" borderId="27" xfId="1" applyFont="1" applyFill="1" applyBorder="1" applyAlignment="1">
      <alignment horizontal="center"/>
    </xf>
    <xf numFmtId="0" fontId="37" fillId="0" borderId="27" xfId="22" quotePrefix="1" applyFont="1" applyBorder="1" applyAlignment="1">
      <alignment vertical="center"/>
    </xf>
    <xf numFmtId="0" fontId="16" fillId="20" borderId="27" xfId="0" applyFont="1" applyFill="1" applyBorder="1" applyAlignment="1">
      <alignment horizontal="left" indent="2"/>
    </xf>
    <xf numFmtId="43" fontId="16" fillId="20" borderId="27" xfId="1" applyFont="1" applyFill="1" applyBorder="1" applyAlignment="1">
      <alignment vertical="top"/>
    </xf>
    <xf numFmtId="43" fontId="16" fillId="2" borderId="27" xfId="1" applyFont="1" applyFill="1" applyBorder="1" applyAlignment="1">
      <alignment vertical="top"/>
    </xf>
    <xf numFmtId="0" fontId="64" fillId="0" borderId="27" xfId="22" quotePrefix="1" applyFont="1" applyBorder="1" applyAlignment="1">
      <alignment horizontal="left" vertical="center" wrapText="1"/>
    </xf>
    <xf numFmtId="43" fontId="64" fillId="0" borderId="27" xfId="1" applyFont="1" applyFill="1" applyBorder="1" applyAlignment="1">
      <alignment horizontal="center" vertical="center"/>
    </xf>
    <xf numFmtId="0" fontId="64" fillId="0" borderId="27" xfId="33" applyFont="1" applyBorder="1" applyAlignment="1">
      <alignment horizontal="center" vertical="center"/>
    </xf>
    <xf numFmtId="43" fontId="64" fillId="0" borderId="27" xfId="1" applyFont="1" applyFill="1" applyBorder="1" applyAlignment="1">
      <alignment horizontal="center"/>
    </xf>
    <xf numFmtId="43" fontId="13" fillId="0" borderId="0" xfId="1" applyFont="1" applyAlignment="1">
      <alignment horizontal="center"/>
    </xf>
    <xf numFmtId="0" fontId="16" fillId="18" borderId="27" xfId="0" applyFont="1" applyFill="1" applyBorder="1" applyAlignment="1">
      <alignment horizontal="center" vertical="center"/>
    </xf>
    <xf numFmtId="165" fontId="13" fillId="0" borderId="0" xfId="0" applyNumberFormat="1" applyFont="1"/>
    <xf numFmtId="0" fontId="16" fillId="13" borderId="27" xfId="0" applyFont="1" applyFill="1" applyBorder="1" applyAlignment="1">
      <alignment horizontal="center" vertical="center"/>
    </xf>
    <xf numFmtId="43" fontId="15" fillId="13" borderId="27" xfId="1" applyFont="1" applyFill="1" applyBorder="1" applyAlignment="1">
      <alignment vertical="top"/>
    </xf>
    <xf numFmtId="43" fontId="16" fillId="13" borderId="27" xfId="1" applyFont="1" applyFill="1" applyBorder="1" applyAlignment="1">
      <alignment vertical="top"/>
    </xf>
    <xf numFmtId="43" fontId="15" fillId="22" borderId="27" xfId="1" applyFont="1" applyFill="1" applyBorder="1" applyAlignment="1">
      <alignment vertical="top"/>
    </xf>
    <xf numFmtId="165" fontId="15" fillId="12" borderId="27" xfId="61" applyFont="1" applyFill="1" applyBorder="1" applyAlignment="1">
      <alignment horizontal="center"/>
    </xf>
    <xf numFmtId="165" fontId="15" fillId="12" borderId="27" xfId="52" applyNumberFormat="1" applyFont="1" applyFill="1" applyBorder="1" applyAlignment="1">
      <alignment vertical="center"/>
    </xf>
    <xf numFmtId="43" fontId="15" fillId="0" borderId="27" xfId="29" applyFont="1" applyFill="1" applyBorder="1" applyAlignment="1">
      <alignment horizontal="center"/>
    </xf>
    <xf numFmtId="175" fontId="16" fillId="12" borderId="27" xfId="10" applyNumberFormat="1" applyFont="1" applyFill="1" applyBorder="1" applyAlignment="1">
      <alignment horizontal="center"/>
    </xf>
    <xf numFmtId="43" fontId="15" fillId="12" borderId="27" xfId="29" applyFont="1" applyFill="1" applyBorder="1" applyAlignment="1">
      <alignment horizontal="center"/>
    </xf>
    <xf numFmtId="0" fontId="15" fillId="12" borderId="27" xfId="10" applyFont="1" applyFill="1" applyBorder="1" applyAlignment="1">
      <alignment horizontal="center"/>
    </xf>
    <xf numFmtId="43" fontId="16" fillId="12" borderId="27" xfId="29" applyFont="1" applyFill="1" applyBorder="1" applyAlignment="1">
      <alignment horizontal="center"/>
    </xf>
    <xf numFmtId="165" fontId="16" fillId="12" borderId="27" xfId="21" applyNumberFormat="1" applyFont="1" applyFill="1" applyBorder="1" applyAlignment="1">
      <alignment horizontal="center" vertical="center"/>
    </xf>
    <xf numFmtId="165" fontId="16" fillId="12" borderId="27" xfId="61" applyFont="1" applyFill="1" applyBorder="1" applyAlignment="1">
      <alignment horizontal="center"/>
    </xf>
    <xf numFmtId="165" fontId="16" fillId="12" borderId="27" xfId="57" applyFont="1" applyFill="1" applyBorder="1" applyAlignment="1">
      <alignment horizontal="right" vertical="center"/>
    </xf>
    <xf numFmtId="0" fontId="16" fillId="12" borderId="27" xfId="10" applyFont="1" applyFill="1" applyBorder="1" applyAlignment="1">
      <alignment horizontal="center"/>
    </xf>
    <xf numFmtId="0" fontId="16" fillId="12" borderId="27" xfId="52" applyFont="1" applyFill="1" applyBorder="1" applyAlignment="1">
      <alignment vertical="center"/>
    </xf>
    <xf numFmtId="0" fontId="15" fillId="0" borderId="27" xfId="22" applyFont="1" applyBorder="1" applyAlignment="1">
      <alignment vertical="center"/>
    </xf>
    <xf numFmtId="43" fontId="15" fillId="0" borderId="27" xfId="1" applyFont="1" applyFill="1" applyBorder="1" applyAlignment="1">
      <alignment horizontal="right" vertical="center"/>
    </xf>
    <xf numFmtId="43" fontId="15" fillId="12" borderId="27" xfId="1" applyFont="1" applyFill="1" applyBorder="1" applyAlignment="1">
      <alignment horizontal="right" vertical="center"/>
    </xf>
    <xf numFmtId="165" fontId="15" fillId="0" borderId="27" xfId="29" applyNumberFormat="1" applyFont="1" applyFill="1" applyBorder="1" applyAlignment="1">
      <alignment horizontal="center"/>
    </xf>
    <xf numFmtId="165" fontId="15" fillId="12" borderId="27" xfId="29" applyNumberFormat="1" applyFont="1" applyFill="1" applyBorder="1" applyAlignment="1">
      <alignment horizontal="center"/>
    </xf>
    <xf numFmtId="0" fontId="64" fillId="2" borderId="27" xfId="22" applyFont="1" applyFill="1" applyBorder="1" applyAlignment="1">
      <alignment horizontal="center" vertical="center"/>
    </xf>
    <xf numFmtId="0" fontId="37" fillId="0" borderId="34" xfId="22" quotePrefix="1" applyFont="1" applyBorder="1" applyAlignment="1">
      <alignment horizontal="left" vertical="center" wrapText="1"/>
    </xf>
    <xf numFmtId="43" fontId="37" fillId="0" borderId="34" xfId="1" applyFont="1" applyFill="1" applyBorder="1" applyAlignment="1">
      <alignment horizontal="center" vertical="center"/>
    </xf>
    <xf numFmtId="0" fontId="37" fillId="0" borderId="34" xfId="33" applyFont="1" applyBorder="1" applyAlignment="1">
      <alignment horizontal="center" vertical="center"/>
    </xf>
    <xf numFmtId="43" fontId="37" fillId="0" borderId="34" xfId="1" applyFont="1" applyFill="1" applyBorder="1" applyAlignment="1">
      <alignment horizontal="center"/>
    </xf>
    <xf numFmtId="43" fontId="15" fillId="0" borderId="34" xfId="21" applyFont="1" applyFill="1" applyBorder="1"/>
    <xf numFmtId="0" fontId="15" fillId="0" borderId="5" xfId="12" applyFont="1" applyBorder="1"/>
    <xf numFmtId="43" fontId="37" fillId="0" borderId="27" xfId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center" vertical="center"/>
    </xf>
    <xf numFmtId="3" fontId="16" fillId="0" borderId="0" xfId="1" applyNumberFormat="1" applyFont="1" applyAlignment="1">
      <alignment horizontal="center"/>
    </xf>
    <xf numFmtId="43" fontId="16" fillId="0" borderId="0" xfId="1" applyFont="1"/>
    <xf numFmtId="43" fontId="16" fillId="0" borderId="0" xfId="0" applyNumberFormat="1" applyFont="1"/>
    <xf numFmtId="0" fontId="79" fillId="0" borderId="0" xfId="0" applyFont="1" applyAlignment="1">
      <alignment vertical="center"/>
    </xf>
    <xf numFmtId="0" fontId="67" fillId="0" borderId="2" xfId="0" applyFont="1" applyBorder="1" applyAlignment="1">
      <alignment horizontal="center" vertical="center"/>
    </xf>
    <xf numFmtId="0" fontId="76" fillId="0" borderId="0" xfId="0" applyFont="1" applyBorder="1" applyAlignment="1">
      <alignment horizontal="left"/>
    </xf>
    <xf numFmtId="43" fontId="75" fillId="0" borderId="6" xfId="1" applyFont="1" applyBorder="1"/>
    <xf numFmtId="43" fontId="76" fillId="0" borderId="2" xfId="0" applyNumberFormat="1" applyFont="1" applyBorder="1"/>
    <xf numFmtId="0" fontId="68" fillId="0" borderId="30" xfId="0" applyFont="1" applyBorder="1" applyAlignment="1">
      <alignment horizontal="left" vertical="center"/>
    </xf>
    <xf numFmtId="0" fontId="68" fillId="0" borderId="29" xfId="0" applyFont="1" applyBorder="1" applyAlignment="1">
      <alignment horizontal="left" vertical="center"/>
    </xf>
    <xf numFmtId="178" fontId="68" fillId="0" borderId="0" xfId="0" quotePrefix="1" applyNumberFormat="1" applyFont="1" applyAlignment="1">
      <alignment horizontal="left" vertical="top" wrapText="1"/>
    </xf>
    <xf numFmtId="0" fontId="76" fillId="0" borderId="6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68" fillId="4" borderId="27" xfId="0" applyFont="1" applyFill="1" applyBorder="1" applyAlignment="1">
      <alignment horizontal="center" vertical="center"/>
    </xf>
    <xf numFmtId="0" fontId="67" fillId="0" borderId="27" xfId="0" applyFont="1" applyBorder="1" applyAlignment="1">
      <alignment horizontal="left" vertical="center"/>
    </xf>
    <xf numFmtId="0" fontId="68" fillId="0" borderId="27" xfId="0" applyFont="1" applyBorder="1" applyAlignment="1">
      <alignment horizontal="left" vertical="center"/>
    </xf>
    <xf numFmtId="0" fontId="76" fillId="0" borderId="30" xfId="0" applyFont="1" applyBorder="1" applyAlignment="1">
      <alignment horizontal="left"/>
    </xf>
    <xf numFmtId="0" fontId="76" fillId="0" borderId="29" xfId="0" applyFont="1" applyBorder="1" applyAlignment="1">
      <alignment horizontal="left"/>
    </xf>
    <xf numFmtId="0" fontId="76" fillId="0" borderId="35" xfId="0" applyFont="1" applyBorder="1" applyAlignment="1">
      <alignment horizontal="left"/>
    </xf>
    <xf numFmtId="0" fontId="76" fillId="0" borderId="0" xfId="0" applyFont="1" applyAlignment="1">
      <alignment horizontal="left"/>
    </xf>
    <xf numFmtId="0" fontId="68" fillId="0" borderId="0" xfId="0" applyFont="1" applyAlignment="1">
      <alignment horizontal="center" vertical="top"/>
    </xf>
    <xf numFmtId="0" fontId="68" fillId="0" borderId="0" xfId="0" applyFont="1" applyAlignment="1">
      <alignment horizontal="left" vertical="top" wrapText="1"/>
    </xf>
    <xf numFmtId="0" fontId="70" fillId="0" borderId="0" xfId="3" applyFont="1" applyAlignment="1">
      <alignment horizontal="center"/>
    </xf>
    <xf numFmtId="0" fontId="67" fillId="0" borderId="0" xfId="3" applyFont="1" applyAlignment="1">
      <alignment horizontal="center"/>
    </xf>
    <xf numFmtId="0" fontId="68" fillId="0" borderId="0" xfId="3" applyFont="1" applyAlignment="1">
      <alignment horizontal="center"/>
    </xf>
    <xf numFmtId="0" fontId="69" fillId="0" borderId="0" xfId="3" applyFont="1" applyAlignment="1">
      <alignment horizontal="center"/>
    </xf>
    <xf numFmtId="0" fontId="63" fillId="0" borderId="23" xfId="0" applyFont="1" applyBorder="1" applyAlignment="1">
      <alignment horizontal="right"/>
    </xf>
    <xf numFmtId="0" fontId="63" fillId="0" borderId="19" xfId="0" applyFont="1" applyBorder="1" applyAlignment="1">
      <alignment horizontal="right"/>
    </xf>
    <xf numFmtId="0" fontId="63" fillId="0" borderId="21" xfId="0" applyFont="1" applyBorder="1" applyAlignment="1">
      <alignment horizontal="right"/>
    </xf>
    <xf numFmtId="0" fontId="63" fillId="0" borderId="0" xfId="0" applyFont="1" applyAlignment="1">
      <alignment horizontal="left" vertical="top" wrapText="1"/>
    </xf>
    <xf numFmtId="0" fontId="63" fillId="4" borderId="3" xfId="0" applyFont="1" applyFill="1" applyBorder="1" applyAlignment="1">
      <alignment horizontal="center" vertical="center"/>
    </xf>
    <xf numFmtId="0" fontId="63" fillId="4" borderId="4" xfId="0" applyFont="1" applyFill="1" applyBorder="1" applyAlignment="1">
      <alignment horizontal="center" vertical="center"/>
    </xf>
    <xf numFmtId="0" fontId="64" fillId="0" borderId="3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71" fillId="0" borderId="0" xfId="0" applyFont="1" applyAlignment="1">
      <alignment horizontal="center" vertical="top"/>
    </xf>
    <xf numFmtId="0" fontId="70" fillId="0" borderId="0" xfId="3" applyFont="1" applyBorder="1" applyAlignment="1">
      <alignment horizontal="center"/>
    </xf>
    <xf numFmtId="0" fontId="67" fillId="0" borderId="0" xfId="3" applyFont="1" applyBorder="1" applyAlignment="1">
      <alignment horizontal="center"/>
    </xf>
    <xf numFmtId="0" fontId="64" fillId="0" borderId="20" xfId="0" applyFont="1" applyBorder="1" applyAlignment="1">
      <alignment horizontal="left" vertical="center"/>
    </xf>
    <xf numFmtId="0" fontId="64" fillId="0" borderId="9" xfId="0" applyFont="1" applyBorder="1" applyAlignment="1">
      <alignment horizontal="left" vertical="center"/>
    </xf>
    <xf numFmtId="179" fontId="63" fillId="0" borderId="0" xfId="0" applyNumberFormat="1" applyFont="1" applyAlignment="1">
      <alignment horizontal="left" vertical="top" wrapText="1"/>
    </xf>
    <xf numFmtId="0" fontId="63" fillId="4" borderId="30" xfId="0" applyFont="1" applyFill="1" applyBorder="1" applyAlignment="1">
      <alignment horizontal="center" vertical="center"/>
    </xf>
    <xf numFmtId="0" fontId="63" fillId="4" borderId="29" xfId="0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top"/>
    </xf>
    <xf numFmtId="0" fontId="63" fillId="2" borderId="0" xfId="3" applyFont="1" applyFill="1" applyAlignment="1">
      <alignment horizontal="left" vertical="center"/>
    </xf>
    <xf numFmtId="0" fontId="63" fillId="2" borderId="0" xfId="3" applyFont="1" applyFill="1" applyAlignment="1">
      <alignment horizontal="right" vertical="center"/>
    </xf>
    <xf numFmtId="0" fontId="63" fillId="2" borderId="10" xfId="3" applyFont="1" applyFill="1" applyBorder="1" applyAlignment="1">
      <alignment horizontal="left" vertical="center"/>
    </xf>
    <xf numFmtId="0" fontId="63" fillId="2" borderId="10" xfId="3" applyFont="1" applyFill="1" applyBorder="1" applyAlignment="1">
      <alignment horizontal="right" vertical="center"/>
    </xf>
    <xf numFmtId="0" fontId="63" fillId="2" borderId="0" xfId="2" applyFont="1" applyFill="1" applyAlignment="1">
      <alignment horizontal="center" vertical="center"/>
    </xf>
    <xf numFmtId="0" fontId="63" fillId="2" borderId="0" xfId="2" applyFont="1" applyFill="1" applyAlignment="1">
      <alignment horizontal="center" vertical="center" wrapText="1"/>
    </xf>
    <xf numFmtId="43" fontId="63" fillId="2" borderId="0" xfId="4" applyFont="1" applyFill="1" applyBorder="1" applyAlignment="1">
      <alignment horizontal="left" vertical="center"/>
    </xf>
    <xf numFmtId="0" fontId="63" fillId="2" borderId="0" xfId="5" applyFont="1" applyFill="1" applyAlignment="1">
      <alignment horizontal="left" vertical="center"/>
    </xf>
    <xf numFmtId="179" fontId="63" fillId="0" borderId="0" xfId="0" applyNumberFormat="1" applyFont="1" applyAlignment="1">
      <alignment horizontal="center" vertical="center"/>
    </xf>
    <xf numFmtId="0" fontId="16" fillId="2" borderId="10" xfId="3" applyFont="1" applyFill="1" applyBorder="1" applyAlignment="1">
      <alignment horizontal="left" vertical="center"/>
    </xf>
    <xf numFmtId="0" fontId="16" fillId="2" borderId="10" xfId="3" applyFont="1" applyFill="1" applyBorder="1" applyAlignment="1">
      <alignment horizontal="right" vertical="center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 wrapText="1"/>
    </xf>
    <xf numFmtId="43" fontId="16" fillId="2" borderId="0" xfId="4" applyFont="1" applyFill="1" applyBorder="1" applyAlignment="1">
      <alignment horizontal="left" vertical="center"/>
    </xf>
    <xf numFmtId="0" fontId="16" fillId="2" borderId="0" xfId="5" applyFont="1" applyFill="1" applyAlignment="1">
      <alignment horizontal="left" vertical="center"/>
    </xf>
    <xf numFmtId="179" fontId="16" fillId="0" borderId="0" xfId="0" applyNumberFormat="1" applyFont="1" applyAlignment="1">
      <alignment horizontal="center" vertical="center"/>
    </xf>
    <xf numFmtId="43" fontId="16" fillId="23" borderId="7" xfId="1" applyFont="1" applyFill="1" applyBorder="1" applyAlignment="1">
      <alignment horizontal="center" vertical="center" wrapText="1"/>
    </xf>
    <xf numFmtId="43" fontId="15" fillId="23" borderId="2" xfId="1" applyFont="1" applyFill="1" applyBorder="1" applyAlignment="1">
      <alignment horizontal="center" vertical="center" wrapText="1"/>
    </xf>
    <xf numFmtId="0" fontId="16" fillId="23" borderId="27" xfId="3" applyFont="1" applyFill="1" applyBorder="1" applyAlignment="1">
      <alignment horizontal="center" vertical="center"/>
    </xf>
    <xf numFmtId="0" fontId="16" fillId="23" borderId="30" xfId="3" applyFont="1" applyFill="1" applyBorder="1" applyAlignment="1">
      <alignment horizontal="center" vertical="center"/>
    </xf>
    <xf numFmtId="43" fontId="16" fillId="23" borderId="27" xfId="1" applyFont="1" applyFill="1" applyBorder="1" applyAlignment="1">
      <alignment horizontal="center" vertical="center"/>
    </xf>
    <xf numFmtId="43" fontId="16" fillId="23" borderId="29" xfId="1" applyFont="1" applyFill="1" applyBorder="1" applyAlignment="1">
      <alignment horizontal="center" vertical="center"/>
    </xf>
    <xf numFmtId="43" fontId="16" fillId="23" borderId="30" xfId="1" applyFont="1" applyFill="1" applyBorder="1" applyAlignment="1">
      <alignment horizontal="center" vertical="center"/>
    </xf>
    <xf numFmtId="43" fontId="16" fillId="23" borderId="27" xfId="1" applyFont="1" applyFill="1" applyBorder="1" applyAlignment="1">
      <alignment horizontal="center" vertical="center" wrapText="1"/>
    </xf>
    <xf numFmtId="43" fontId="15" fillId="23" borderId="27" xfId="1" applyFont="1" applyFill="1" applyBorder="1" applyAlignment="1">
      <alignment horizontal="center" vertical="center" wrapText="1"/>
    </xf>
    <xf numFmtId="43" fontId="15" fillId="0" borderId="27" xfId="1" applyFont="1" applyFill="1" applyBorder="1" applyAlignment="1" applyProtection="1">
      <alignment horizontal="center" vertical="top"/>
      <protection locked="0"/>
    </xf>
    <xf numFmtId="43" fontId="15" fillId="2" borderId="7" xfId="1" applyFont="1" applyFill="1" applyBorder="1" applyAlignment="1">
      <alignment horizontal="center" vertical="top"/>
    </xf>
    <xf numFmtId="43" fontId="15" fillId="2" borderId="2" xfId="1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43" fontId="15" fillId="0" borderId="27" xfId="39" applyFont="1" applyFill="1" applyBorder="1" applyAlignment="1">
      <alignment horizontal="center" vertical="top"/>
    </xf>
    <xf numFmtId="43" fontId="37" fillId="0" borderId="27" xfId="1" applyFont="1" applyBorder="1" applyAlignment="1">
      <alignment horizontal="center" vertical="top"/>
    </xf>
    <xf numFmtId="2" fontId="37" fillId="2" borderId="27" xfId="0" applyNumberFormat="1" applyFont="1" applyFill="1" applyBorder="1" applyAlignment="1">
      <alignment horizontal="center" vertical="top"/>
    </xf>
    <xf numFmtId="43" fontId="37" fillId="2" borderId="27" xfId="1" applyFont="1" applyFill="1" applyBorder="1" applyAlignment="1">
      <alignment horizontal="center" vertical="top"/>
    </xf>
    <xf numFmtId="43" fontId="37" fillId="2" borderId="27" xfId="1" applyFont="1" applyFill="1" applyBorder="1" applyAlignment="1">
      <alignment horizontal="center"/>
    </xf>
    <xf numFmtId="0" fontId="15" fillId="2" borderId="27" xfId="12" applyFont="1" applyFill="1" applyBorder="1" applyAlignment="1">
      <alignment horizontal="center" wrapText="1"/>
    </xf>
    <xf numFmtId="165" fontId="15" fillId="2" borderId="27" xfId="60" applyNumberFormat="1" applyFont="1" applyFill="1" applyBorder="1" applyAlignment="1">
      <alignment horizontal="center"/>
    </xf>
    <xf numFmtId="165" fontId="15" fillId="17" borderId="27" xfId="60" applyNumberFormat="1" applyFont="1" applyFill="1" applyBorder="1" applyAlignment="1">
      <alignment horizontal="center"/>
    </xf>
    <xf numFmtId="0" fontId="15" fillId="0" borderId="27" xfId="12" applyFont="1" applyBorder="1" applyAlignment="1">
      <alignment horizontal="center" wrapText="1"/>
    </xf>
    <xf numFmtId="0" fontId="16" fillId="23" borderId="10" xfId="3" applyFont="1" applyFill="1" applyBorder="1" applyAlignment="1">
      <alignment horizontal="left" vertical="center"/>
    </xf>
    <xf numFmtId="0" fontId="16" fillId="23" borderId="10" xfId="3" applyFont="1" applyFill="1" applyBorder="1" applyAlignment="1">
      <alignment horizontal="right" vertical="center"/>
    </xf>
    <xf numFmtId="0" fontId="16" fillId="23" borderId="0" xfId="2" applyFont="1" applyFill="1" applyAlignment="1">
      <alignment horizontal="center" vertical="center"/>
    </xf>
    <xf numFmtId="0" fontId="16" fillId="23" borderId="0" xfId="2" applyFont="1" applyFill="1" applyAlignment="1">
      <alignment horizontal="center" vertical="center" wrapText="1"/>
    </xf>
    <xf numFmtId="43" fontId="16" fillId="23" borderId="0" xfId="4" applyFont="1" applyFill="1" applyBorder="1" applyAlignment="1">
      <alignment horizontal="left" vertical="center"/>
    </xf>
    <xf numFmtId="0" fontId="16" fillId="23" borderId="0" xfId="5" applyFont="1" applyFill="1" applyAlignment="1">
      <alignment horizontal="left" vertical="center"/>
    </xf>
    <xf numFmtId="179" fontId="16" fillId="23" borderId="0" xfId="0" applyNumberFormat="1" applyFont="1" applyFill="1" applyAlignment="1">
      <alignment horizontal="center" vertical="center"/>
    </xf>
    <xf numFmtId="0" fontId="20" fillId="7" borderId="7" xfId="27" applyFont="1" applyFill="1" applyBorder="1" applyAlignment="1">
      <alignment horizontal="center" vertical="center"/>
    </xf>
    <xf numFmtId="0" fontId="20" fillId="7" borderId="2" xfId="27" applyFont="1" applyFill="1" applyBorder="1" applyAlignment="1">
      <alignment horizontal="center" vertical="center"/>
    </xf>
    <xf numFmtId="0" fontId="20" fillId="7" borderId="30" xfId="27" applyFont="1" applyFill="1" applyBorder="1" applyAlignment="1">
      <alignment horizontal="center"/>
    </xf>
    <xf numFmtId="0" fontId="20" fillId="7" borderId="28" xfId="27" applyFont="1" applyFill="1" applyBorder="1" applyAlignment="1">
      <alignment horizontal="center"/>
    </xf>
    <xf numFmtId="0" fontId="20" fillId="7" borderId="29" xfId="27" applyFont="1" applyFill="1" applyBorder="1" applyAlignment="1">
      <alignment horizontal="center"/>
    </xf>
    <xf numFmtId="0" fontId="19" fillId="7" borderId="30" xfId="27" applyFont="1" applyFill="1" applyBorder="1" applyAlignment="1">
      <alignment horizontal="center"/>
    </xf>
    <xf numFmtId="0" fontId="19" fillId="7" borderId="28" xfId="27" applyFont="1" applyFill="1" applyBorder="1" applyAlignment="1">
      <alignment horizontal="center"/>
    </xf>
    <xf numFmtId="0" fontId="19" fillId="7" borderId="29" xfId="27" applyFont="1" applyFill="1" applyBorder="1" applyAlignment="1">
      <alignment horizontal="center"/>
    </xf>
    <xf numFmtId="0" fontId="16" fillId="0" borderId="0" xfId="27" applyFont="1" applyAlignment="1">
      <alignment horizontal="center"/>
    </xf>
    <xf numFmtId="0" fontId="16" fillId="5" borderId="27" xfId="27" applyFont="1" applyFill="1" applyBorder="1" applyAlignment="1">
      <alignment horizontal="center" vertical="center"/>
    </xf>
    <xf numFmtId="0" fontId="16" fillId="5" borderId="27" xfId="27" applyFont="1" applyFill="1" applyBorder="1" applyAlignment="1">
      <alignment horizontal="center"/>
    </xf>
    <xf numFmtId="0" fontId="16" fillId="4" borderId="30" xfId="27" applyFont="1" applyFill="1" applyBorder="1" applyAlignment="1">
      <alignment horizontal="center"/>
    </xf>
    <xf numFmtId="0" fontId="16" fillId="4" borderId="28" xfId="27" applyFont="1" applyFill="1" applyBorder="1" applyAlignment="1">
      <alignment horizontal="center"/>
    </xf>
    <xf numFmtId="0" fontId="16" fillId="4" borderId="29" xfId="27" applyFont="1" applyFill="1" applyBorder="1" applyAlignment="1">
      <alignment horizontal="center"/>
    </xf>
    <xf numFmtId="0" fontId="16" fillId="5" borderId="30" xfId="27" applyFont="1" applyFill="1" applyBorder="1" applyAlignment="1">
      <alignment horizontal="center"/>
    </xf>
    <xf numFmtId="0" fontId="16" fillId="5" borderId="28" xfId="27" applyFont="1" applyFill="1" applyBorder="1" applyAlignment="1">
      <alignment horizontal="center"/>
    </xf>
    <xf numFmtId="0" fontId="16" fillId="5" borderId="29" xfId="27" applyFont="1" applyFill="1" applyBorder="1" applyAlignment="1">
      <alignment horizontal="center"/>
    </xf>
    <xf numFmtId="0" fontId="16" fillId="2" borderId="27" xfId="27" applyFont="1" applyFill="1" applyBorder="1" applyAlignment="1">
      <alignment horizontal="center"/>
    </xf>
    <xf numFmtId="0" fontId="26" fillId="7" borderId="27" xfId="30" applyFont="1" applyFill="1" applyBorder="1" applyAlignment="1">
      <alignment horizontal="center" vertical="center"/>
    </xf>
    <xf numFmtId="43" fontId="19" fillId="3" borderId="34" xfId="31" applyFont="1" applyFill="1" applyBorder="1" applyAlignment="1">
      <alignment horizontal="center" vertical="top"/>
    </xf>
    <xf numFmtId="2" fontId="25" fillId="0" borderId="15" xfId="30" applyNumberFormat="1" applyFont="1" applyBorder="1" applyAlignment="1">
      <alignment horizontal="center" vertical="top"/>
    </xf>
    <xf numFmtId="2" fontId="25" fillId="0" borderId="6" xfId="30" applyNumberFormat="1" applyFont="1" applyBorder="1" applyAlignment="1">
      <alignment horizontal="center" vertical="top"/>
    </xf>
    <xf numFmtId="2" fontId="25" fillId="0" borderId="5" xfId="30" applyNumberFormat="1" applyFont="1" applyBorder="1" applyAlignment="1">
      <alignment horizontal="center" vertical="top"/>
    </xf>
    <xf numFmtId="0" fontId="26" fillId="7" borderId="27" xfId="30" applyFont="1" applyFill="1" applyBorder="1" applyAlignment="1">
      <alignment horizontal="center"/>
    </xf>
    <xf numFmtId="43" fontId="19" fillId="0" borderId="0" xfId="25" applyFont="1" applyAlignment="1">
      <alignment horizontal="center"/>
    </xf>
    <xf numFmtId="0" fontId="18" fillId="0" borderId="0" xfId="24" applyFont="1" applyAlignment="1">
      <alignment horizontal="center"/>
    </xf>
    <xf numFmtId="0" fontId="20" fillId="0" borderId="0" xfId="24" applyFont="1" applyAlignment="1">
      <alignment horizontal="left" vertical="center"/>
    </xf>
    <xf numFmtId="0" fontId="20" fillId="0" borderId="0" xfId="24" applyFont="1" applyAlignment="1">
      <alignment horizontal="center" vertical="center"/>
    </xf>
    <xf numFmtId="0" fontId="20" fillId="0" borderId="0" xfId="24" quotePrefix="1" applyFont="1" applyAlignment="1">
      <alignment horizontal="center" vertical="center"/>
    </xf>
    <xf numFmtId="43" fontId="19" fillId="6" borderId="0" xfId="25" applyFont="1" applyFill="1" applyAlignment="1" applyProtection="1">
      <alignment horizontal="center"/>
      <protection locked="0"/>
    </xf>
    <xf numFmtId="0" fontId="20" fillId="0" borderId="0" xfId="24" applyFont="1" applyAlignment="1">
      <alignment horizontal="center"/>
    </xf>
    <xf numFmtId="9" fontId="19" fillId="0" borderId="0" xfId="24" applyNumberFormat="1" applyFont="1" applyAlignment="1">
      <alignment horizontal="center"/>
    </xf>
    <xf numFmtId="168" fontId="20" fillId="0" borderId="0" xfId="24" applyNumberFormat="1" applyFont="1" applyAlignment="1">
      <alignment horizontal="center" vertical="center"/>
    </xf>
    <xf numFmtId="168" fontId="20" fillId="0" borderId="0" xfId="24" quotePrefix="1" applyNumberFormat="1" applyFont="1" applyAlignment="1">
      <alignment horizontal="center" vertical="center"/>
    </xf>
    <xf numFmtId="170" fontId="20" fillId="0" borderId="0" xfId="24" applyNumberFormat="1" applyFont="1" applyAlignment="1">
      <alignment horizontal="center"/>
    </xf>
    <xf numFmtId="168" fontId="21" fillId="0" borderId="24" xfId="25" applyNumberFormat="1" applyFont="1" applyBorder="1" applyAlignment="1">
      <alignment horizontal="center" vertical="center"/>
    </xf>
    <xf numFmtId="168" fontId="21" fillId="0" borderId="25" xfId="25" applyNumberFormat="1" applyFont="1" applyBorder="1" applyAlignment="1">
      <alignment horizontal="center" vertical="center"/>
    </xf>
    <xf numFmtId="168" fontId="21" fillId="0" borderId="26" xfId="25" applyNumberFormat="1" applyFont="1" applyBorder="1" applyAlignment="1">
      <alignment horizontal="center" vertical="center"/>
    </xf>
    <xf numFmtId="168" fontId="20" fillId="0" borderId="0" xfId="24" applyNumberFormat="1" applyFont="1" applyAlignment="1">
      <alignment horizontal="center"/>
    </xf>
    <xf numFmtId="168" fontId="19" fillId="6" borderId="0" xfId="25" applyNumberFormat="1" applyFont="1" applyFill="1" applyAlignment="1" applyProtection="1">
      <alignment horizontal="center"/>
      <protection locked="0"/>
    </xf>
    <xf numFmtId="0" fontId="20" fillId="0" borderId="10" xfId="24" applyFont="1" applyBorder="1" applyAlignment="1">
      <alignment horizontal="center"/>
    </xf>
    <xf numFmtId="4" fontId="20" fillId="0" borderId="10" xfId="24" applyNumberFormat="1" applyFont="1" applyBorder="1" applyAlignment="1">
      <alignment horizontal="center"/>
    </xf>
    <xf numFmtId="0" fontId="20" fillId="0" borderId="8" xfId="24" applyFont="1" applyBorder="1" applyAlignment="1">
      <alignment horizontal="center"/>
    </xf>
    <xf numFmtId="165" fontId="46" fillId="0" borderId="30" xfId="42" applyFont="1" applyFill="1" applyBorder="1" applyAlignment="1">
      <alignment horizontal="center" vertical="center"/>
    </xf>
    <xf numFmtId="165" fontId="46" fillId="0" borderId="29" xfId="42" applyFont="1" applyFill="1" applyBorder="1" applyAlignment="1">
      <alignment horizontal="center" vertical="center"/>
    </xf>
    <xf numFmtId="165" fontId="15" fillId="0" borderId="27" xfId="42" applyFont="1" applyBorder="1" applyAlignment="1">
      <alignment horizontal="center" vertical="center"/>
    </xf>
    <xf numFmtId="165" fontId="15" fillId="0" borderId="7" xfId="42" applyFont="1" applyBorder="1" applyAlignment="1">
      <alignment horizontal="center" vertical="center"/>
    </xf>
    <xf numFmtId="165" fontId="15" fillId="0" borderId="2" xfId="42" applyFont="1" applyBorder="1" applyAlignment="1">
      <alignment horizontal="center" vertical="center"/>
    </xf>
    <xf numFmtId="165" fontId="15" fillId="0" borderId="7" xfId="42" applyFont="1" applyBorder="1" applyAlignment="1">
      <alignment horizontal="center" vertical="center" wrapText="1"/>
    </xf>
    <xf numFmtId="165" fontId="15" fillId="0" borderId="2" xfId="42" applyFont="1" applyBorder="1" applyAlignment="1">
      <alignment horizontal="center" vertical="center" wrapText="1"/>
    </xf>
    <xf numFmtId="165" fontId="15" fillId="0" borderId="30" xfId="42" applyFont="1" applyBorder="1" applyAlignment="1">
      <alignment horizontal="center" vertical="center"/>
    </xf>
    <xf numFmtId="165" fontId="15" fillId="0" borderId="29" xfId="42" applyFont="1" applyBorder="1" applyAlignment="1">
      <alignment horizontal="center" vertical="center"/>
    </xf>
    <xf numFmtId="165" fontId="15" fillId="0" borderId="20" xfId="42" applyFont="1" applyBorder="1" applyAlignment="1">
      <alignment horizontal="center" vertical="center" wrapText="1"/>
    </xf>
    <xf numFmtId="165" fontId="15" fillId="0" borderId="8" xfId="42" applyFont="1" applyBorder="1" applyAlignment="1">
      <alignment horizontal="center" vertical="center" wrapText="1"/>
    </xf>
    <xf numFmtId="165" fontId="15" fillId="0" borderId="9" xfId="42" applyFont="1" applyBorder="1" applyAlignment="1">
      <alignment horizontal="center" vertical="center" wrapText="1"/>
    </xf>
    <xf numFmtId="165" fontId="15" fillId="0" borderId="40" xfId="42" applyFont="1" applyBorder="1" applyAlignment="1">
      <alignment horizontal="center" vertical="center" wrapText="1"/>
    </xf>
    <xf numFmtId="165" fontId="15" fillId="0" borderId="10" xfId="42" applyFont="1" applyBorder="1" applyAlignment="1">
      <alignment horizontal="center" vertical="center" wrapText="1"/>
    </xf>
    <xf numFmtId="165" fontId="15" fillId="0" borderId="41" xfId="42" applyFont="1" applyBorder="1" applyAlignment="1">
      <alignment horizontal="center" vertical="center" wrapText="1"/>
    </xf>
    <xf numFmtId="165" fontId="15" fillId="0" borderId="27" xfId="42" applyFont="1" applyBorder="1" applyAlignment="1">
      <alignment horizontal="center" vertical="center" wrapText="1"/>
    </xf>
    <xf numFmtId="165" fontId="15" fillId="0" borderId="28" xfId="42" applyFont="1" applyBorder="1" applyAlignment="1">
      <alignment horizontal="center" vertical="center"/>
    </xf>
    <xf numFmtId="165" fontId="15" fillId="0" borderId="30" xfId="42" applyFont="1" applyBorder="1" applyAlignment="1">
      <alignment horizontal="center" vertical="center" wrapText="1"/>
    </xf>
    <xf numFmtId="165" fontId="15" fillId="0" borderId="29" xfId="42" applyFont="1" applyBorder="1" applyAlignment="1">
      <alignment horizontal="center" vertical="center" wrapText="1"/>
    </xf>
    <xf numFmtId="165" fontId="15" fillId="0" borderId="28" xfId="42" applyFont="1" applyBorder="1" applyAlignment="1">
      <alignment horizontal="center" vertical="center" wrapText="1"/>
    </xf>
    <xf numFmtId="164" fontId="28" fillId="0" borderId="30" xfId="46" applyNumberFormat="1" applyFont="1" applyFill="1" applyBorder="1" applyAlignment="1">
      <alignment horizontal="center" vertical="top"/>
    </xf>
    <xf numFmtId="164" fontId="28" fillId="0" borderId="28" xfId="46" applyNumberFormat="1" applyFont="1" applyFill="1" applyBorder="1" applyAlignment="1">
      <alignment horizontal="center" vertical="top"/>
    </xf>
    <xf numFmtId="164" fontId="28" fillId="0" borderId="29" xfId="46" applyNumberFormat="1" applyFont="1" applyFill="1" applyBorder="1" applyAlignment="1">
      <alignment horizontal="center" vertical="top"/>
    </xf>
    <xf numFmtId="165" fontId="28" fillId="0" borderId="23" xfId="46" applyFont="1" applyFill="1" applyBorder="1" applyAlignment="1">
      <alignment horizontal="center" vertical="top"/>
    </xf>
    <xf numFmtId="165" fontId="28" fillId="0" borderId="19" xfId="46" applyFont="1" applyFill="1" applyBorder="1" applyAlignment="1">
      <alignment horizontal="center" vertical="top"/>
    </xf>
    <xf numFmtId="165" fontId="28" fillId="0" borderId="21" xfId="46" applyFont="1" applyFill="1" applyBorder="1" applyAlignment="1">
      <alignment horizontal="center" vertical="top"/>
    </xf>
    <xf numFmtId="164" fontId="28" fillId="0" borderId="27" xfId="46" applyNumberFormat="1" applyFont="1" applyFill="1" applyBorder="1" applyAlignment="1">
      <alignment horizontal="center" vertical="top"/>
    </xf>
    <xf numFmtId="164" fontId="15" fillId="0" borderId="27" xfId="46" applyNumberFormat="1" applyFont="1" applyFill="1" applyBorder="1" applyAlignment="1">
      <alignment horizontal="center" vertical="center"/>
    </xf>
    <xf numFmtId="164" fontId="15" fillId="0" borderId="27" xfId="46" applyNumberFormat="1" applyFont="1" applyFill="1" applyBorder="1" applyAlignment="1">
      <alignment horizontal="center" vertical="top"/>
    </xf>
  </cellXfs>
  <cellStyles count="67">
    <cellStyle name="Comma" xfId="1" builtinId="3"/>
    <cellStyle name="Comma 10" xfId="11"/>
    <cellStyle name="Comma 10 2 2" xfId="50"/>
    <cellStyle name="Comma 11" xfId="61"/>
    <cellStyle name="Comma 12" xfId="29"/>
    <cellStyle name="Comma 14" xfId="13"/>
    <cellStyle name="Comma 18" xfId="54"/>
    <cellStyle name="Comma 2" xfId="15"/>
    <cellStyle name="Comma 2 2" xfId="31"/>
    <cellStyle name="Comma 2 2 2" xfId="23"/>
    <cellStyle name="Comma 2 2 3 2" xfId="39"/>
    <cellStyle name="Comma 2 3" xfId="48"/>
    <cellStyle name="Comma 2 4" xfId="21"/>
    <cellStyle name="Comma 2 5" xfId="19"/>
    <cellStyle name="Comma 21" xfId="63"/>
    <cellStyle name="Comma 3" xfId="7"/>
    <cellStyle name="Comma 3 3" xfId="57"/>
    <cellStyle name="Comma 3 5" xfId="64"/>
    <cellStyle name="Comma 4" xfId="8"/>
    <cellStyle name="Comma 5 2" xfId="26"/>
    <cellStyle name="Comma 6" xfId="14"/>
    <cellStyle name="Comma 6 2" xfId="25"/>
    <cellStyle name="Comma 7" xfId="9"/>
    <cellStyle name="Comma 8 2" xfId="49"/>
    <cellStyle name="Comma 8 2 2" xfId="42"/>
    <cellStyle name="Comma_20100427-STR-ARC" xfId="4"/>
    <cellStyle name="Excel Built-in Normal" xfId="16"/>
    <cellStyle name="Hyperlink" xfId="65" builtinId="8"/>
    <cellStyle name="Hyperlink 2" xfId="45"/>
    <cellStyle name="Hyperlink 3" xfId="43"/>
    <cellStyle name="Normal" xfId="0" builtinId="0"/>
    <cellStyle name="Normal 11" xfId="56"/>
    <cellStyle name="Normal 12 2" xfId="59"/>
    <cellStyle name="Normal 15" xfId="20"/>
    <cellStyle name="Normal 2" xfId="3"/>
    <cellStyle name="Normal 2 3" xfId="22"/>
    <cellStyle name="Normal 3" xfId="6"/>
    <cellStyle name="Normal 3 2 2" xfId="36"/>
    <cellStyle name="Normal 3 2 3" xfId="41"/>
    <cellStyle name="Normal 4" xfId="30"/>
    <cellStyle name="Normal 4 2" xfId="37"/>
    <cellStyle name="Normal 4 3" xfId="38"/>
    <cellStyle name="Normal 5" xfId="12"/>
    <cellStyle name="Normal 5 2" xfId="27"/>
    <cellStyle name="Normal 6" xfId="24"/>
    <cellStyle name="Normal 8 2" xfId="44"/>
    <cellStyle name="Normal 9" xfId="10"/>
    <cellStyle name="Normal_B-ee27" xfId="58"/>
    <cellStyle name="Normal_BOQ แยกชั้น" xfId="35"/>
    <cellStyle name="Normal_boq ชลประทาน" xfId="33"/>
    <cellStyle name="Normal_BOQ-Structure" xfId="51"/>
    <cellStyle name="Normal_Donjedi-Data" xfId="62"/>
    <cellStyle name="Normal_KS_01_BOQ" xfId="34"/>
    <cellStyle name="Normal_ราคาโครงสร้างศูนย์เครื่องมือ 2" xfId="66"/>
    <cellStyle name="Percent" xfId="32" builtinId="5"/>
    <cellStyle name="เครื่องหมายจุลภาค 10" xfId="28"/>
    <cellStyle name="เครื่องหมายจุลภาค 2" xfId="18"/>
    <cellStyle name="เครื่องหมายจุลภาค 4" xfId="17"/>
    <cellStyle name="เครื่องหมายจุลภาค_BOQ_Blankform S&amp;A 3" xfId="55"/>
    <cellStyle name="เครื่องหมายจุลภาค_BOQ_Blankform_S_A_REV(1)._1_M" xfId="60"/>
    <cellStyle name="จุลภาค 2" xfId="40"/>
    <cellStyle name="จุลภาค 3" xfId="46"/>
    <cellStyle name="ปกติ 2" xfId="47"/>
    <cellStyle name="ปกติ_ARCHITECTURE 2" xfId="2"/>
    <cellStyle name="ปกติ_BOQ.Blank Form" xfId="5"/>
    <cellStyle name="ปกติ_BOQ_Blankform S&amp;A" xfId="52"/>
    <cellStyle name="ปกติ_BOQ_Blankform_S_A_REV(1)._1_M" xf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64481</xdr:rowOff>
    </xdr:from>
    <xdr:to>
      <xdr:col>0</xdr:col>
      <xdr:colOff>861390</xdr:colOff>
      <xdr:row>2</xdr:row>
      <xdr:rowOff>264485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81"/>
          <a:ext cx="861390" cy="870895"/>
        </a:xfrm>
        <a:prstGeom prst="rect">
          <a:avLst/>
        </a:prstGeom>
      </xdr:spPr>
    </xdr:pic>
    <xdr:clientData/>
  </xdr:twoCellAnchor>
  <xdr:oneCellAnchor>
    <xdr:from>
      <xdr:col>1</xdr:col>
      <xdr:colOff>422556</xdr:colOff>
      <xdr:row>24</xdr:row>
      <xdr:rowOff>52761</xdr:rowOff>
    </xdr:from>
    <xdr:ext cx="4114799" cy="210651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43306" y="5831261"/>
          <a:ext cx="4114799" cy="2106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ประธานกรรมการกำหนดราคากลาง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5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อาจารย์ธวัชชัย</a:t>
          </a:r>
          <a:r>
            <a:rPr lang="th-TH" sz="15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โทอินทร์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en-US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500"/>
            </a:lnSpc>
          </a:pPr>
          <a:endParaRPr lang="th-TH" sz="16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eaLnBrk="1" fontAlgn="auto" latinLnBrk="0" hangingPunct="1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ลงชื่อ...................................................กรรมการกำหนดราคากลาง</a:t>
          </a:r>
        </a:p>
        <a:p>
          <a:pPr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en-US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   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อาจารย์ อัตพล</a:t>
          </a:r>
          <a:r>
            <a:rPr lang="th-TH" sz="15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บุบพิ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</a:p>
        <a:p>
          <a:pPr>
            <a:lnSpc>
              <a:spcPts val="1600"/>
            </a:lnSpc>
          </a:pPr>
          <a:endParaRPr lang="th-TH" sz="1500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eaLnBrk="1" fontAlgn="auto" latinLnBrk="0" hangingPunct="1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ลงชื่อ...................................................กรรมการกำหนดราคากลาง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6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  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ผู้ช่วยศาสตราจารย์ภัคพร</a:t>
          </a:r>
          <a:r>
            <a:rPr lang="th-TH" sz="15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ยอดศิริ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400"/>
            </a:lnSpc>
          </a:pPr>
          <a:endParaRPr lang="th-TH" sz="1400">
            <a:solidFill>
              <a:sysClr val="windowText" lastClr="000000"/>
            </a:solidFill>
          </a:endParaRPr>
        </a:p>
        <a:p>
          <a:pPr algn="l">
            <a:lnSpc>
              <a:spcPts val="1600"/>
            </a:lnSpc>
          </a:pPr>
          <a:endParaRPr lang="th-TH" sz="14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1</xdr:col>
      <xdr:colOff>314699</xdr:colOff>
      <xdr:row>30</xdr:row>
      <xdr:rowOff>59765</xdr:rowOff>
    </xdr:from>
    <xdr:ext cx="3692671" cy="177998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5449" y="7648015"/>
          <a:ext cx="3692671" cy="1779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>
              <a:latin typeface="TH SarabunPSK" pitchFamily="34" charset="-34"/>
              <a:cs typeface="TH SarabunPSK" pitchFamily="34" charset="-34"/>
            </a:rPr>
            <a:t>เห็นชอบ</a:t>
          </a:r>
        </a:p>
        <a:p>
          <a:pPr algn="ctr"/>
          <a:endParaRPr lang="th-TH" sz="1500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</a:t>
          </a: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(อาจารย์บุญกิจ    อุ่นพิกุล )</a:t>
          </a: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ผู้ช่วยอธิการบดี  ปฏิบัติราชการแทน</a:t>
          </a:r>
          <a:endParaRPr lang="en-US" sz="1500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อธิการบดีมหาวิทยาลัยเทคโนโลยีราชมงคลอีสาน</a:t>
          </a:r>
          <a:endParaRPr lang="th-TH" sz="15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9</xdr:col>
      <xdr:colOff>333375</xdr:colOff>
      <xdr:row>13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83343</xdr:colOff>
      <xdr:row>0</xdr:row>
      <xdr:rowOff>0</xdr:rowOff>
    </xdr:from>
    <xdr:to>
      <xdr:col>1</xdr:col>
      <xdr:colOff>321467</xdr:colOff>
      <xdr:row>7</xdr:row>
      <xdr:rowOff>110974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" y="0"/>
          <a:ext cx="940593" cy="10158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4</xdr:row>
      <xdr:rowOff>9525</xdr:rowOff>
    </xdr:from>
    <xdr:to>
      <xdr:col>18</xdr:col>
      <xdr:colOff>0</xdr:colOff>
      <xdr:row>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6000750" y="1266825"/>
          <a:ext cx="19050" cy="581025"/>
        </a:xfrm>
        <a:prstGeom prst="righ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4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>
          <a:off x="2809875" y="1257300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28575</xdr:colOff>
      <xdr:row>21</xdr:row>
      <xdr:rowOff>9525</xdr:rowOff>
    </xdr:from>
    <xdr:to>
      <xdr:col>18</xdr:col>
      <xdr:colOff>104775</xdr:colOff>
      <xdr:row>23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/>
        </xdr:cNvSpPr>
      </xdr:nvSpPr>
      <xdr:spPr bwMode="auto">
        <a:xfrm>
          <a:off x="6048375" y="6286500"/>
          <a:ext cx="76200" cy="581025"/>
        </a:xfrm>
        <a:prstGeom prst="righ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21</xdr:row>
      <xdr:rowOff>0</xdr:rowOff>
    </xdr:from>
    <xdr:to>
      <xdr:col>5</xdr:col>
      <xdr:colOff>104775</xdr:colOff>
      <xdr:row>23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/>
        </xdr:cNvSpPr>
      </xdr:nvSpPr>
      <xdr:spPr bwMode="auto">
        <a:xfrm>
          <a:off x="2809875" y="627697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71437</xdr:colOff>
      <xdr:row>2</xdr:row>
      <xdr:rowOff>296241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8187" cy="8558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163285</xdr:rowOff>
    </xdr:from>
    <xdr:to>
      <xdr:col>1</xdr:col>
      <xdr:colOff>-1</xdr:colOff>
      <xdr:row>2</xdr:row>
      <xdr:rowOff>282632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163285"/>
          <a:ext cx="853847" cy="8575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59</xdr:row>
      <xdr:rowOff>0</xdr:rowOff>
    </xdr:from>
    <xdr:to>
      <xdr:col>9</xdr:col>
      <xdr:colOff>333375</xdr:colOff>
      <xdr:row>59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178594</xdr:rowOff>
    </xdr:from>
    <xdr:to>
      <xdr:col>1</xdr:col>
      <xdr:colOff>107156</xdr:colOff>
      <xdr:row>6</xdr:row>
      <xdr:rowOff>443933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594"/>
          <a:ext cx="785812" cy="7177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745</xdr:row>
      <xdr:rowOff>0</xdr:rowOff>
    </xdr:from>
    <xdr:to>
      <xdr:col>9</xdr:col>
      <xdr:colOff>333375</xdr:colOff>
      <xdr:row>745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</xdr:colOff>
      <xdr:row>5</xdr:row>
      <xdr:rowOff>47625</xdr:rowOff>
    </xdr:from>
    <xdr:to>
      <xdr:col>1</xdr:col>
      <xdr:colOff>190500</xdr:colOff>
      <xdr:row>7</xdr:row>
      <xdr:rowOff>27214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47625"/>
          <a:ext cx="881063" cy="8844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237</xdr:row>
      <xdr:rowOff>0</xdr:rowOff>
    </xdr:from>
    <xdr:to>
      <xdr:col>9</xdr:col>
      <xdr:colOff>333375</xdr:colOff>
      <xdr:row>237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35718</xdr:rowOff>
    </xdr:from>
    <xdr:to>
      <xdr:col>1</xdr:col>
      <xdr:colOff>202406</xdr:colOff>
      <xdr:row>7</xdr:row>
      <xdr:rowOff>67695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8"/>
          <a:ext cx="988219" cy="9368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29</xdr:row>
      <xdr:rowOff>0</xdr:rowOff>
    </xdr:from>
    <xdr:to>
      <xdr:col>9</xdr:col>
      <xdr:colOff>333375</xdr:colOff>
      <xdr:row>29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7</xdr:row>
      <xdr:rowOff>77744</xdr:rowOff>
    </xdr:to>
    <xdr:pic>
      <xdr:nvPicPr>
        <xdr:cNvPr id="5" name="รูปภาพ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3938" cy="9826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9</xdr:col>
      <xdr:colOff>333375</xdr:colOff>
      <xdr:row>13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71436</xdr:colOff>
      <xdr:row>5</xdr:row>
      <xdr:rowOff>39273</xdr:rowOff>
    </xdr:from>
    <xdr:to>
      <xdr:col>1</xdr:col>
      <xdr:colOff>309562</xdr:colOff>
      <xdr:row>7</xdr:row>
      <xdr:rowOff>56981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6" y="39273"/>
          <a:ext cx="928689" cy="9225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9</xdr:col>
      <xdr:colOff>333375</xdr:colOff>
      <xdr:row>13</xdr:row>
      <xdr:rowOff>264121</xdr:rowOff>
    </xdr:to>
    <xdr:sp macro="" textlink="">
      <xdr:nvSpPr>
        <xdr:cNvPr id="2" name="AutoShape 1" descr="à¸à¸¥à¸à¸²à¸£à¸à¹à¸à¸«à¸²à¸£à¸¹à¸à¸ à¸²à¸à¸ªà¸³à¸«à¸£à¸±à¸ à¸à¸±à¸à¹à¸à¹à¸à¸à¹à¸³à¹à¸à¹à¸à¸­à¸£à¹à¸à¸¥à¸²à¸ª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323649975"/>
          <a:ext cx="333375" cy="2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83342</xdr:colOff>
      <xdr:row>5</xdr:row>
      <xdr:rowOff>43160</xdr:rowOff>
    </xdr:from>
    <xdr:to>
      <xdr:col>1</xdr:col>
      <xdr:colOff>214311</xdr:colOff>
      <xdr:row>7</xdr:row>
      <xdr:rowOff>85556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2" y="43160"/>
          <a:ext cx="964407" cy="9472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x\Downloads\Documents\Documents%20and%20Settings\User_1\Desktop\&#3586;&#3657;&#3629;&#3617;&#3641;&#3621;\&#3623;&#3619;&#3648;&#3607;&#3614;\&#3610;&#3657;&#3634;&#3609;&#3604;&#3591;\pm\&#3629;-&#3649;&#3617;&#3656;&#3623;&#3633;&#3591;&#3623;&#3633;&#3623;-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x\Downloads\Documents\Documents%20and%20Settings\LA\Desktop\&#3623;&#3619;&#3648;&#3607;&#3614;\&#3610;&#3657;&#3634;&#3609;&#3609;&#3634;&#3648;&#3629;&#3637;&#3657;&#3618;&#3591;\&#3610;&#3657;&#3634;&#3609;&#3619;&#3657;&#3629;&#3591;\&#3610;&#3657;&#3634;&#3609;&#3604;&#3591;\pm\&#3629;-&#3649;&#3617;&#3656;&#3623;&#3633;&#3591;&#3623;&#3633;&#3623;-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x\Downloads\Documents\My%20Documents\Compaq\My%20Documents\Data\Budget\&#3613;&#3634;&#3618;&#3607;&#3640;&#3656;&#3591;&#3611;&#3591;&#3648;&#3619;&#3637;&#3618;&#3609;\&#3611;&#3619;&#3633;&#3610;&#3611;&#3619;&#3640;&#3591;\My%20Documents\Data\Pm\PM44\&#3586;&#3640;&#3604;&#3621;&#3629;&#3585;\&#3609;&#3636;&#3588;&#3617;&#3648;&#3586;&#3605;4\&#3609;&#3636;&#3588;&#3617;&#3631;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x\Downloads\Documents\Documents%20and%20Settings\LA\Desktop\&#3623;&#3619;&#3648;&#3607;&#3614;\&#3610;&#3657;&#3634;&#3609;&#3609;&#3634;&#3648;&#3629;&#3637;&#3657;&#3618;&#3591;\&#3610;&#3657;&#3634;&#3609;&#3619;&#3657;&#3629;&#3591;\&#3610;&#3657;&#3634;&#3609;&#3604;&#3591;\&#3619;&#3634;&#3618;&#3585;&#3634;&#3619;&#3588;&#3635;&#3609;&#3623;&#3603;&#3610;&#3657;&#3634;&#3609;&#3604;&#359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x\Downloads\Documents\Documents%20and%20Settings\LA\Desktop\&#3623;&#3619;&#3648;&#3607;&#3614;\&#3610;&#3657;&#3634;&#3609;&#3609;&#3634;&#3648;&#3629;&#3637;&#3657;&#3618;&#3591;\&#3610;&#3657;&#3634;&#3609;&#3619;&#3657;&#3629;&#3591;\&#3610;&#3657;&#3634;&#3609;&#3604;&#3591;\pm\W-&#3629;-&#3649;&#3617;&#3656;&#3623;&#3633;&#3591;&#3623;&#3633;&#3623;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"/>
      <sheetName val="กสย.11 หน้า 1,3"/>
      <sheetName val="ใบปะหน้าประมาณการ"/>
      <sheetName val="รายละเอียด"/>
      <sheetName val="อัตราราคางาน"/>
      <sheetName val="บัญชีสรุป"/>
    </sheetNames>
    <sheetDataSet>
      <sheetData sheetId="0"/>
      <sheetData sheetId="1"/>
      <sheetData sheetId="2"/>
      <sheetData sheetId="3"/>
      <sheetData sheetId="4">
        <row r="11">
          <cell r="F11">
            <v>1718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"/>
      <sheetName val="กสย.11 หน้า 1,3"/>
      <sheetName val="ใบปะหน้าประมาณการ"/>
      <sheetName val="รายละเอียด"/>
      <sheetName val="อัตราราคางาน"/>
      <sheetName val="บัญชีสรุป"/>
    </sheetNames>
    <sheetDataSet>
      <sheetData sheetId="0"/>
      <sheetData sheetId="1"/>
      <sheetData sheetId="2"/>
      <sheetData sheetId="3"/>
      <sheetData sheetId="4">
        <row r="10">
          <cell r="F10">
            <v>4279</v>
          </cell>
        </row>
        <row r="11">
          <cell r="F11">
            <v>1718</v>
          </cell>
        </row>
        <row r="12">
          <cell r="F12">
            <v>2469</v>
          </cell>
        </row>
        <row r="15">
          <cell r="F15">
            <v>829</v>
          </cell>
        </row>
        <row r="16">
          <cell r="F16">
            <v>535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325"/>
      <sheetName val="รายละเอียด"/>
      <sheetName val="งานดิน"/>
      <sheetName val="แผนเงินสด"/>
    </sheetNames>
    <sheetDataSet>
      <sheetData sheetId="0"/>
      <sheetData sheetId="1">
        <row r="5">
          <cell r="E5">
            <v>90513.5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รอกแบบ"/>
      <sheetName val="ค่าขนส่ง"/>
      <sheetName val="อัตรา1"/>
      <sheetName val="ใบปะหน้า"/>
      <sheetName val="แผนการปฏิบัติงานก่อสร้าง"/>
      <sheetName val="ข้อ 4"/>
      <sheetName val="เรื่องเดิม"/>
      <sheetName val="รายละเอียด"/>
      <sheetName val="สรุปปริมาณงาน"/>
      <sheetName val="ตารางอัตราฯ"/>
      <sheetName val="ต้นทุนต่อหน่วย"/>
      <sheetName val="ท่อส่งน้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1">
          <cell r="P51">
            <v>170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ำนบดิน"/>
      <sheetName val="ท่อส่งน้ำเข้านา "/>
      <sheetName val="สะพานน้ำ"/>
      <sheetName val="ท่อส่งน้ำ"/>
      <sheetName val="รางริน"/>
      <sheetName val="ท่อแยก"/>
      <sheetName val="ทางระบายน้ำล้น"/>
    </sheetNames>
    <sheetDataSet>
      <sheetData sheetId="0">
        <row r="16">
          <cell r="DH16">
            <v>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onestockhome.com/th/items/98930275/lynn-upvc-door-bathroom-doors-white-mg2-70x200-cm_doors_lynn-upvc-door_lynn?product_id=36679857" TargetMode="External"/><Relationship Id="rId1" Type="http://schemas.openxmlformats.org/officeDocument/2006/relationships/hyperlink" Target="https://www.onestockhome.com/th/products/63544440/lynn-upvc-door-bathroom-doors-white-mg1_doors_lynn-upvc-door_lynn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globalhouse.co.th/product/detail/1903282658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onestockhome.com/th/products/42874989/rockwool-safe-n-silent-pro-380_sound-insulation-materials_rockwool" TargetMode="External"/><Relationship Id="rId1" Type="http://schemas.openxmlformats.org/officeDocument/2006/relationships/hyperlink" Target="https://www.onestockhome.com/th/products/59587023/aluminium-sheet-1100_alloy-materials?item_id=38162141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showGridLines="0" topLeftCell="A11" zoomScale="70" zoomScaleNormal="70" zoomScaleSheetLayoutView="120" workbookViewId="0">
      <selection activeCell="I18" sqref="I18"/>
    </sheetView>
  </sheetViews>
  <sheetFormatPr defaultColWidth="9" defaultRowHeight="21.75"/>
  <cols>
    <col min="1" max="1" width="13.7109375" style="1163" customWidth="1"/>
    <col min="2" max="2" width="16.42578125" style="1163" customWidth="1"/>
    <col min="3" max="3" width="33.42578125" style="1163" customWidth="1"/>
    <col min="4" max="4" width="24.42578125" style="1163" customWidth="1"/>
    <col min="5" max="5" width="19.7109375" style="1163" customWidth="1"/>
    <col min="6" max="6" width="9" style="1163"/>
    <col min="7" max="7" width="15.140625" style="1163" bestFit="1" customWidth="1"/>
    <col min="8" max="8" width="17.28515625" style="1163" customWidth="1"/>
    <col min="9" max="9" width="18.28515625" style="1163" customWidth="1"/>
    <col min="10" max="10" width="16.28515625" style="1163" customWidth="1"/>
    <col min="11" max="16384" width="9" style="1163"/>
  </cols>
  <sheetData>
    <row r="1" spans="1:5" ht="28.5" customHeight="1">
      <c r="E1" s="1164" t="s">
        <v>44</v>
      </c>
    </row>
    <row r="2" spans="1:5" ht="24" customHeight="1">
      <c r="A2" s="1374" t="s">
        <v>34</v>
      </c>
      <c r="B2" s="1374"/>
      <c r="C2" s="1374"/>
      <c r="D2" s="1374"/>
      <c r="E2" s="1374"/>
    </row>
    <row r="3" spans="1:5" ht="24" customHeight="1"/>
    <row r="4" spans="1:5" s="1168" customFormat="1" ht="24" customHeight="1">
      <c r="A4" s="1165" t="s">
        <v>18</v>
      </c>
      <c r="B4" s="1166"/>
      <c r="C4" s="1375" t="s">
        <v>599</v>
      </c>
      <c r="D4" s="1375"/>
      <c r="E4" s="1167"/>
    </row>
    <row r="5" spans="1:5" s="1168" customFormat="1" ht="24" customHeight="1">
      <c r="A5" s="1166" t="s">
        <v>19</v>
      </c>
      <c r="B5" s="1167"/>
      <c r="C5" s="1375" t="s">
        <v>127</v>
      </c>
      <c r="D5" s="1375"/>
      <c r="E5" s="1375"/>
    </row>
    <row r="6" spans="1:5" s="1168" customFormat="1" ht="24" customHeight="1">
      <c r="A6" s="1166" t="s">
        <v>20</v>
      </c>
      <c r="B6" s="1166"/>
      <c r="C6" s="1375" t="s">
        <v>21</v>
      </c>
      <c r="D6" s="1375"/>
      <c r="E6" s="1375"/>
    </row>
    <row r="7" spans="1:5" s="1168" customFormat="1" ht="24" customHeight="1">
      <c r="A7" s="1166" t="s">
        <v>22</v>
      </c>
      <c r="B7" s="1166"/>
      <c r="C7" s="1375" t="s">
        <v>128</v>
      </c>
      <c r="D7" s="1375"/>
      <c r="E7" s="1375"/>
    </row>
    <row r="8" spans="1:5" s="1168" customFormat="1" ht="24" customHeight="1">
      <c r="A8" s="1357" t="s">
        <v>2474</v>
      </c>
      <c r="B8" s="1357"/>
      <c r="C8" s="1375" t="s">
        <v>2475</v>
      </c>
      <c r="D8" s="1375"/>
      <c r="E8" s="1375"/>
    </row>
    <row r="9" spans="1:5" s="1168" customFormat="1" ht="24" customHeight="1">
      <c r="A9" s="1166" t="s">
        <v>1443</v>
      </c>
      <c r="B9" s="1166"/>
      <c r="C9" s="1364" t="s">
        <v>1444</v>
      </c>
      <c r="D9" s="1364"/>
      <c r="E9" s="1364"/>
    </row>
    <row r="10" spans="1:5" ht="15" customHeight="1"/>
    <row r="11" spans="1:5" s="1170" customFormat="1" ht="28.5" customHeight="1">
      <c r="A11" s="1169" t="s">
        <v>11</v>
      </c>
      <c r="B11" s="1367" t="s">
        <v>1</v>
      </c>
      <c r="C11" s="1367"/>
      <c r="D11" s="1169" t="s">
        <v>26</v>
      </c>
      <c r="E11" s="1169" t="s">
        <v>5</v>
      </c>
    </row>
    <row r="12" spans="1:5" s="1170" customFormat="1">
      <c r="A12" s="1171"/>
      <c r="B12" s="1368"/>
      <c r="C12" s="1368"/>
      <c r="D12" s="1172"/>
      <c r="E12" s="1172"/>
    </row>
    <row r="13" spans="1:5" s="1170" customFormat="1">
      <c r="A13" s="1173">
        <v>1</v>
      </c>
      <c r="B13" s="1370" t="s">
        <v>333</v>
      </c>
      <c r="C13" s="1371"/>
      <c r="D13" s="1174">
        <f>'ปร.5(ก)'!F25</f>
        <v>29859226.508808769</v>
      </c>
      <c r="E13" s="1172"/>
    </row>
    <row r="14" spans="1:5" s="1170" customFormat="1" ht="22.5" customHeight="1">
      <c r="A14" s="1175">
        <v>2</v>
      </c>
      <c r="B14" s="1369" t="s">
        <v>332</v>
      </c>
      <c r="C14" s="1369"/>
      <c r="D14" s="1174">
        <f>'ปร.5(ข)'!F19</f>
        <v>509812.2</v>
      </c>
      <c r="E14" s="1171"/>
    </row>
    <row r="15" spans="1:5" s="1170" customFormat="1" ht="22.5" customHeight="1">
      <c r="A15" s="1175"/>
      <c r="B15" s="1362"/>
      <c r="C15" s="1363"/>
      <c r="D15" s="1174"/>
      <c r="E15" s="1358"/>
    </row>
    <row r="16" spans="1:5" s="1170" customFormat="1" ht="22.5" customHeight="1">
      <c r="A16" s="1175"/>
      <c r="B16" s="1362"/>
      <c r="C16" s="1363"/>
      <c r="D16" s="1174"/>
      <c r="E16" s="1358"/>
    </row>
    <row r="17" spans="1:10" s="1170" customFormat="1" ht="22.5" customHeight="1">
      <c r="A17" s="1175"/>
      <c r="B17" s="1362"/>
      <c r="C17" s="1363"/>
      <c r="D17" s="1174"/>
      <c r="E17" s="1358"/>
    </row>
    <row r="18" spans="1:10" s="1170" customFormat="1" ht="22.5" customHeight="1" thickBot="1">
      <c r="A18" s="1175"/>
      <c r="B18" s="1362"/>
      <c r="C18" s="1363"/>
      <c r="D18" s="1174"/>
      <c r="E18" s="1358"/>
    </row>
    <row r="19" spans="1:10" s="1170" customFormat="1" ht="22.5" thickTop="1">
      <c r="A19" s="1365" t="s">
        <v>3</v>
      </c>
      <c r="B19" s="1359" t="s">
        <v>126</v>
      </c>
      <c r="C19" s="1360"/>
      <c r="D19" s="1361">
        <f>SUM(D13:D14)</f>
        <v>30369038.708808769</v>
      </c>
      <c r="E19" s="1176"/>
      <c r="G19" s="1177"/>
      <c r="I19" s="1178"/>
      <c r="J19" s="1178"/>
    </row>
    <row r="20" spans="1:10" s="1170" customFormat="1">
      <c r="A20" s="1365"/>
      <c r="B20" s="1372" t="s">
        <v>372</v>
      </c>
      <c r="C20" s="1373"/>
      <c r="D20" s="1179"/>
      <c r="E20" s="1180"/>
      <c r="G20" s="1181">
        <f>D19</f>
        <v>30369038.708808769</v>
      </c>
    </row>
    <row r="21" spans="1:10" s="1187" customFormat="1">
      <c r="A21" s="1365"/>
      <c r="B21" s="1182" t="str">
        <f>BAHTTEXT(D19)</f>
        <v>สามสิบล้านสามแสนหกหมื่นเก้าพันสามสิบแปดบาทเจ็ดสิบเอ็ดสตางค์</v>
      </c>
      <c r="C21" s="1183"/>
      <c r="D21" s="1184"/>
      <c r="E21" s="1185"/>
      <c r="F21" s="1163"/>
      <c r="G21" s="1186">
        <v>29992600</v>
      </c>
    </row>
    <row r="22" spans="1:10" ht="22.5" thickBot="1">
      <c r="A22" s="1366"/>
      <c r="B22" s="1162"/>
      <c r="C22" s="1162"/>
      <c r="D22" s="1162"/>
      <c r="E22" s="1188"/>
    </row>
    <row r="23" spans="1:10" ht="22.5" thickTop="1">
      <c r="A23" s="1190"/>
      <c r="B23" s="1191"/>
      <c r="C23" s="1191"/>
      <c r="D23" s="1191"/>
      <c r="E23" s="1192"/>
    </row>
    <row r="24" spans="1:10">
      <c r="G24" s="1189">
        <f>G20-G21</f>
        <v>376438.70880876854</v>
      </c>
    </row>
  </sheetData>
  <mergeCells count="13">
    <mergeCell ref="A2:E2"/>
    <mergeCell ref="C6:E6"/>
    <mergeCell ref="C7:E7"/>
    <mergeCell ref="C5:E5"/>
    <mergeCell ref="C8:E8"/>
    <mergeCell ref="C4:D4"/>
    <mergeCell ref="C9:E9"/>
    <mergeCell ref="A19:A22"/>
    <mergeCell ref="B11:C11"/>
    <mergeCell ref="B12:C12"/>
    <mergeCell ref="B14:C14"/>
    <mergeCell ref="B13:C13"/>
    <mergeCell ref="B20:C20"/>
  </mergeCells>
  <phoneticPr fontId="11" type="noConversion"/>
  <printOptions horizontalCentered="1"/>
  <pageMargins left="0.31496062992125984" right="0.31496062992125984" top="0.31496062992125984" bottom="0.39370078740157483" header="0.23622047244094491" footer="0.31496062992125984"/>
  <pageSetup paperSize="9" scale="9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G41"/>
  <sheetViews>
    <sheetView tabSelected="1" zoomScale="80" zoomScaleNormal="80" zoomScaleSheetLayoutView="80" workbookViewId="0">
      <pane ySplit="13" topLeftCell="A26" activePane="bottomLeft" state="frozen"/>
      <selection pane="bottomLeft" activeCell="B18" sqref="B18"/>
    </sheetView>
  </sheetViews>
  <sheetFormatPr defaultColWidth="8.7109375" defaultRowHeight="24"/>
  <cols>
    <col min="1" max="1" width="10.5703125" style="39" customWidth="1"/>
    <col min="2" max="2" width="77.710937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20.4257812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1" width="8.7109375" style="1" customWidth="1"/>
    <col min="32" max="33" width="15.42578125" style="1" customWidth="1"/>
    <col min="34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32" s="4" customFormat="1" ht="36" hidden="1" customHeight="1">
      <c r="A1" s="1444" t="s">
        <v>124</v>
      </c>
      <c r="B1" s="1444"/>
      <c r="C1" s="1444"/>
      <c r="D1" s="1444"/>
      <c r="E1" s="1444"/>
      <c r="F1" s="1444"/>
      <c r="G1" s="1444"/>
      <c r="H1" s="1444"/>
      <c r="I1" s="1444"/>
      <c r="J1" s="503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32" s="4" customFormat="1" ht="36" hidden="1" customHeight="1">
      <c r="A2" s="1445" t="s">
        <v>599</v>
      </c>
      <c r="B2" s="1445"/>
      <c r="C2" s="1445"/>
      <c r="D2" s="1445"/>
      <c r="E2" s="1445"/>
      <c r="F2" s="1445"/>
      <c r="G2" s="1445"/>
      <c r="H2" s="1445"/>
      <c r="I2" s="1445"/>
      <c r="J2" s="1148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32" s="4" customFormat="1" ht="29.25" hidden="1" customHeight="1">
      <c r="A3" s="1446" t="s">
        <v>129</v>
      </c>
      <c r="B3" s="1446"/>
      <c r="C3" s="1446"/>
      <c r="D3" s="1446"/>
      <c r="E3" s="504"/>
      <c r="F3" s="504"/>
      <c r="G3" s="505"/>
      <c r="H3" s="505"/>
      <c r="I3" s="505"/>
      <c r="J3" s="506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SUM(AA2:AA13)</f>
        <v>0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32" s="4" customFormat="1" ht="29.25" hidden="1" customHeight="1">
      <c r="A4" s="1447" t="s">
        <v>130</v>
      </c>
      <c r="B4" s="1447"/>
      <c r="C4" s="1447"/>
      <c r="D4" s="1447"/>
      <c r="E4" s="1447"/>
      <c r="F4" s="507"/>
      <c r="G4" s="505"/>
      <c r="H4" s="505" t="s">
        <v>4</v>
      </c>
      <c r="I4" s="1448" t="str">
        <f>ปร.6!C9</f>
        <v>คำสั่งที่ 627/2565 ลงวันที่ 3 พฤศจิกายน 2565</v>
      </c>
      <c r="J4" s="1448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32" s="2" customFormat="1" ht="29.25" hidden="1" customHeight="1">
      <c r="A5" s="1442" t="s">
        <v>105</v>
      </c>
      <c r="B5" s="1442"/>
      <c r="C5" s="1442"/>
      <c r="D5" s="1442"/>
      <c r="E5" s="1442"/>
      <c r="F5" s="1442"/>
      <c r="G5" s="1442"/>
      <c r="H5" s="1443"/>
      <c r="I5" s="1443"/>
      <c r="J5" s="1443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32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32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32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SUM(AA7:AA789)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32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1508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32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32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32" s="2" customFormat="1" ht="24" customHeight="1">
      <c r="A12" s="1417" t="s">
        <v>11</v>
      </c>
      <c r="B12" s="1417" t="s">
        <v>1</v>
      </c>
      <c r="C12" s="1419" t="s">
        <v>13</v>
      </c>
      <c r="D12" s="1419" t="s">
        <v>12</v>
      </c>
      <c r="E12" s="1419" t="s">
        <v>14</v>
      </c>
      <c r="F12" s="1419"/>
      <c r="G12" s="1419" t="s">
        <v>15</v>
      </c>
      <c r="H12" s="1419"/>
      <c r="I12" s="1422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32" s="2" customFormat="1">
      <c r="A13" s="1417"/>
      <c r="B13" s="1417"/>
      <c r="C13" s="1419"/>
      <c r="D13" s="1419"/>
      <c r="E13" s="1140" t="s">
        <v>35</v>
      </c>
      <c r="F13" s="1140" t="s">
        <v>16</v>
      </c>
      <c r="G13" s="1140" t="s">
        <v>35</v>
      </c>
      <c r="H13" s="1140" t="s">
        <v>16</v>
      </c>
      <c r="I13" s="1423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SUM(AB2:AB13)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32">
      <c r="A14" s="525"/>
      <c r="B14" s="525" t="s">
        <v>1413</v>
      </c>
      <c r="C14" s="646"/>
      <c r="D14" s="526"/>
      <c r="E14" s="1327"/>
      <c r="F14" s="1327"/>
      <c r="G14" s="1327"/>
      <c r="H14" s="1327"/>
      <c r="I14" s="1327"/>
      <c r="J14" s="527"/>
    </row>
    <row r="15" spans="1:32">
      <c r="A15" s="528">
        <v>7</v>
      </c>
      <c r="B15" s="679" t="s">
        <v>1414</v>
      </c>
      <c r="C15" s="887"/>
      <c r="D15" s="529"/>
      <c r="E15" s="1022"/>
      <c r="F15" s="1022"/>
      <c r="G15" s="1022"/>
      <c r="H15" s="1022"/>
      <c r="I15" s="1315"/>
      <c r="J15" s="530"/>
      <c r="O15" s="433"/>
      <c r="P15" s="433"/>
      <c r="Q15" s="433"/>
      <c r="R15" s="433"/>
      <c r="S15" s="433"/>
      <c r="AF15" s="465"/>
    </row>
    <row r="16" spans="1:32" s="509" customFormat="1">
      <c r="A16" s="531">
        <v>7.1</v>
      </c>
      <c r="B16" s="532" t="s">
        <v>368</v>
      </c>
      <c r="C16" s="533"/>
      <c r="D16" s="534"/>
      <c r="E16" s="535"/>
      <c r="F16" s="535"/>
      <c r="G16" s="535"/>
      <c r="H16" s="535"/>
      <c r="I16" s="535"/>
      <c r="J16" s="536"/>
      <c r="O16" s="510"/>
      <c r="P16" s="510"/>
      <c r="Q16" s="510"/>
      <c r="R16" s="510"/>
      <c r="S16" s="510"/>
      <c r="AF16" s="511"/>
    </row>
    <row r="17" spans="1:33" s="509" customFormat="1">
      <c r="A17" s="1345" t="s">
        <v>1456</v>
      </c>
      <c r="B17" s="1317" t="s">
        <v>1453</v>
      </c>
      <c r="C17" s="1318">
        <v>3</v>
      </c>
      <c r="D17" s="1319" t="s">
        <v>37</v>
      </c>
      <c r="E17" s="1318">
        <v>4500</v>
      </c>
      <c r="F17" s="1320">
        <f t="shared" ref="F17:F22" si="2">C17*E17</f>
        <v>13500</v>
      </c>
      <c r="G17" s="1318"/>
      <c r="H17" s="1320">
        <f t="shared" ref="H17:H22" si="3">C17*G17</f>
        <v>0</v>
      </c>
      <c r="I17" s="1320">
        <f t="shared" ref="I17:I22" si="4">F17+H17</f>
        <v>13500</v>
      </c>
      <c r="J17" s="545"/>
      <c r="O17" s="510"/>
      <c r="P17" s="510"/>
      <c r="Q17" s="510"/>
      <c r="R17" s="510"/>
      <c r="S17" s="510"/>
      <c r="AF17" s="511"/>
    </row>
    <row r="18" spans="1:33" s="509" customFormat="1">
      <c r="A18" s="1345" t="s">
        <v>1457</v>
      </c>
      <c r="B18" s="1317" t="s">
        <v>1454</v>
      </c>
      <c r="C18" s="1318">
        <v>3</v>
      </c>
      <c r="D18" s="1319" t="s">
        <v>37</v>
      </c>
      <c r="E18" s="1318">
        <v>26000</v>
      </c>
      <c r="F18" s="1320">
        <f t="shared" si="2"/>
        <v>78000</v>
      </c>
      <c r="G18" s="1318"/>
      <c r="H18" s="1320">
        <f t="shared" si="3"/>
        <v>0</v>
      </c>
      <c r="I18" s="1320">
        <f t="shared" si="4"/>
        <v>78000</v>
      </c>
      <c r="J18" s="545"/>
      <c r="O18" s="510"/>
      <c r="P18" s="510"/>
      <c r="Q18" s="510"/>
      <c r="R18" s="510"/>
      <c r="S18" s="510"/>
      <c r="AF18" s="511"/>
    </row>
    <row r="19" spans="1:33" s="509" customFormat="1">
      <c r="A19" s="1345" t="s">
        <v>1458</v>
      </c>
      <c r="B19" s="1317" t="s">
        <v>1455</v>
      </c>
      <c r="C19" s="1318">
        <v>3</v>
      </c>
      <c r="D19" s="1319" t="s">
        <v>369</v>
      </c>
      <c r="E19" s="1318">
        <v>15000</v>
      </c>
      <c r="F19" s="1320">
        <f t="shared" si="2"/>
        <v>45000</v>
      </c>
      <c r="G19" s="1318"/>
      <c r="H19" s="1320">
        <f t="shared" si="3"/>
        <v>0</v>
      </c>
      <c r="I19" s="1320">
        <f t="shared" si="4"/>
        <v>45000</v>
      </c>
      <c r="J19" s="545"/>
      <c r="O19" s="510"/>
      <c r="P19" s="510"/>
      <c r="Q19" s="510"/>
      <c r="R19" s="510"/>
      <c r="S19" s="510"/>
      <c r="AF19" s="511"/>
    </row>
    <row r="20" spans="1:33" ht="26.25" customHeight="1">
      <c r="A20" s="1345" t="s">
        <v>1459</v>
      </c>
      <c r="B20" s="1346" t="s">
        <v>2197</v>
      </c>
      <c r="C20" s="1347">
        <v>1</v>
      </c>
      <c r="D20" s="1348" t="s">
        <v>37</v>
      </c>
      <c r="E20" s="1347">
        <v>31200</v>
      </c>
      <c r="F20" s="1349">
        <f t="shared" si="2"/>
        <v>31200</v>
      </c>
      <c r="G20" s="1347">
        <v>0</v>
      </c>
      <c r="H20" s="1349">
        <f t="shared" si="3"/>
        <v>0</v>
      </c>
      <c r="I20" s="1349">
        <f t="shared" si="4"/>
        <v>31200</v>
      </c>
      <c r="J20" s="1350"/>
      <c r="K20" s="1" t="s">
        <v>2196</v>
      </c>
    </row>
    <row r="21" spans="1:33" ht="26.25" customHeight="1">
      <c r="A21" s="1345" t="s">
        <v>1460</v>
      </c>
      <c r="B21" s="1346" t="s">
        <v>2198</v>
      </c>
      <c r="C21" s="1347">
        <v>1</v>
      </c>
      <c r="D21" s="1348" t="s">
        <v>37</v>
      </c>
      <c r="E21" s="1347">
        <v>7280</v>
      </c>
      <c r="F21" s="1349">
        <f t="shared" si="2"/>
        <v>7280</v>
      </c>
      <c r="G21" s="1347">
        <v>0</v>
      </c>
      <c r="H21" s="1349">
        <f t="shared" si="3"/>
        <v>0</v>
      </c>
      <c r="I21" s="1349">
        <f t="shared" si="4"/>
        <v>7280</v>
      </c>
      <c r="J21" s="1351"/>
      <c r="K21" s="1" t="s">
        <v>1090</v>
      </c>
      <c r="L21" s="1" t="s">
        <v>1088</v>
      </c>
    </row>
    <row r="22" spans="1:33" ht="26.25" customHeight="1">
      <c r="A22" s="1345" t="s">
        <v>1461</v>
      </c>
      <c r="B22" s="1346" t="s">
        <v>2199</v>
      </c>
      <c r="C22" s="1347">
        <v>1</v>
      </c>
      <c r="D22" s="1348" t="s">
        <v>37</v>
      </c>
      <c r="E22" s="1347">
        <v>39000</v>
      </c>
      <c r="F22" s="1349">
        <f t="shared" si="2"/>
        <v>39000</v>
      </c>
      <c r="G22" s="1347">
        <v>0</v>
      </c>
      <c r="H22" s="1349">
        <f t="shared" si="3"/>
        <v>0</v>
      </c>
      <c r="I22" s="1349">
        <f t="shared" si="4"/>
        <v>39000</v>
      </c>
      <c r="J22" s="1351"/>
    </row>
    <row r="23" spans="1:33">
      <c r="A23" s="1322"/>
      <c r="B23" s="551" t="s">
        <v>1416</v>
      </c>
      <c r="C23" s="636"/>
      <c r="D23" s="552"/>
      <c r="E23" s="926"/>
      <c r="F23" s="926"/>
      <c r="G23" s="926"/>
      <c r="H23" s="926"/>
      <c r="I23" s="928">
        <f>SUM(I17:I22)</f>
        <v>213980</v>
      </c>
      <c r="J23" s="553"/>
      <c r="O23" s="433"/>
      <c r="P23" s="433"/>
      <c r="Q23" s="433"/>
      <c r="R23" s="433"/>
      <c r="S23" s="433"/>
      <c r="AF23" s="465">
        <v>876000</v>
      </c>
      <c r="AG23" s="1323">
        <f>AF23-I23</f>
        <v>662020</v>
      </c>
    </row>
    <row r="24" spans="1:33" s="509" customFormat="1">
      <c r="A24" s="1324">
        <v>7.2</v>
      </c>
      <c r="B24" s="554" t="s">
        <v>370</v>
      </c>
      <c r="C24" s="1276"/>
      <c r="D24" s="555"/>
      <c r="E24" s="1325"/>
      <c r="F24" s="1325"/>
      <c r="G24" s="1325"/>
      <c r="H24" s="1325"/>
      <c r="I24" s="1326"/>
      <c r="J24" s="556"/>
      <c r="O24" s="510"/>
      <c r="P24" s="510"/>
      <c r="Q24" s="510"/>
      <c r="R24" s="510"/>
      <c r="S24" s="510"/>
      <c r="AF24" s="511"/>
    </row>
    <row r="25" spans="1:33" s="509" customFormat="1">
      <c r="A25" s="557" t="s">
        <v>1462</v>
      </c>
      <c r="B25" s="558" t="s">
        <v>1469</v>
      </c>
      <c r="C25" s="546">
        <v>1</v>
      </c>
      <c r="D25" s="559" t="s">
        <v>37</v>
      </c>
      <c r="E25" s="546">
        <f>20950</f>
        <v>20950</v>
      </c>
      <c r="F25" s="549">
        <f t="shared" ref="F25:F31" si="5">C25*E25</f>
        <v>20950</v>
      </c>
      <c r="G25" s="546">
        <v>2500</v>
      </c>
      <c r="H25" s="549">
        <f>C25*G25</f>
        <v>2500</v>
      </c>
      <c r="I25" s="549">
        <f t="shared" ref="I25:I31" si="6">F25+H25</f>
        <v>23450</v>
      </c>
      <c r="J25" s="550"/>
      <c r="O25" s="510"/>
      <c r="P25" s="510"/>
      <c r="Q25" s="510"/>
      <c r="R25" s="510"/>
      <c r="S25" s="510"/>
      <c r="AF25" s="511"/>
    </row>
    <row r="26" spans="1:33" s="509" customFormat="1">
      <c r="A26" s="557" t="s">
        <v>1464</v>
      </c>
      <c r="B26" s="558" t="s">
        <v>1470</v>
      </c>
      <c r="C26" s="546">
        <v>4</v>
      </c>
      <c r="D26" s="559" t="s">
        <v>37</v>
      </c>
      <c r="E26" s="546">
        <v>22640</v>
      </c>
      <c r="F26" s="549">
        <f t="shared" si="5"/>
        <v>90560</v>
      </c>
      <c r="G26" s="546">
        <v>2500</v>
      </c>
      <c r="H26" s="549">
        <f t="shared" ref="H26:H31" si="7">C26*G26</f>
        <v>10000</v>
      </c>
      <c r="I26" s="549">
        <f t="shared" si="6"/>
        <v>100560</v>
      </c>
      <c r="J26" s="550"/>
      <c r="O26" s="510"/>
      <c r="P26" s="510"/>
      <c r="Q26" s="510"/>
      <c r="R26" s="510"/>
      <c r="S26" s="510"/>
      <c r="AF26" s="511"/>
    </row>
    <row r="27" spans="1:33" s="509" customFormat="1">
      <c r="A27" s="557" t="s">
        <v>1465</v>
      </c>
      <c r="B27" s="558" t="s">
        <v>1471</v>
      </c>
      <c r="C27" s="546">
        <v>2</v>
      </c>
      <c r="D27" s="559" t="s">
        <v>37</v>
      </c>
      <c r="E27" s="1352">
        <v>6240</v>
      </c>
      <c r="F27" s="549">
        <f t="shared" si="5"/>
        <v>12480</v>
      </c>
      <c r="G27" s="560">
        <v>0</v>
      </c>
      <c r="H27" s="549">
        <f t="shared" si="7"/>
        <v>0</v>
      </c>
      <c r="I27" s="549">
        <f t="shared" si="6"/>
        <v>12480</v>
      </c>
      <c r="J27" s="561"/>
      <c r="O27" s="510"/>
      <c r="P27" s="510"/>
      <c r="Q27" s="510"/>
      <c r="R27" s="510"/>
      <c r="S27" s="510"/>
      <c r="AF27" s="511"/>
    </row>
    <row r="28" spans="1:33" s="509" customFormat="1">
      <c r="A28" s="557" t="s">
        <v>1463</v>
      </c>
      <c r="B28" s="558" t="s">
        <v>1472</v>
      </c>
      <c r="C28" s="546">
        <v>2</v>
      </c>
      <c r="D28" s="559" t="s">
        <v>37</v>
      </c>
      <c r="E28" s="1352">
        <v>15840</v>
      </c>
      <c r="F28" s="549">
        <f t="shared" si="5"/>
        <v>31680</v>
      </c>
      <c r="G28" s="560">
        <v>600</v>
      </c>
      <c r="H28" s="549">
        <f t="shared" si="7"/>
        <v>1200</v>
      </c>
      <c r="I28" s="549">
        <f t="shared" si="6"/>
        <v>32880</v>
      </c>
      <c r="J28" s="550"/>
      <c r="O28" s="510"/>
      <c r="P28" s="510"/>
      <c r="Q28" s="510"/>
      <c r="R28" s="510"/>
      <c r="S28" s="510"/>
      <c r="AF28" s="511"/>
    </row>
    <row r="29" spans="1:33" s="509" customFormat="1">
      <c r="A29" s="557" t="s">
        <v>1466</v>
      </c>
      <c r="B29" s="558" t="s">
        <v>1473</v>
      </c>
      <c r="C29" s="546">
        <v>1</v>
      </c>
      <c r="D29" s="559" t="s">
        <v>37</v>
      </c>
      <c r="E29" s="546">
        <v>9750</v>
      </c>
      <c r="F29" s="549">
        <f t="shared" si="5"/>
        <v>9750</v>
      </c>
      <c r="G29" s="546">
        <v>600</v>
      </c>
      <c r="H29" s="549">
        <f t="shared" si="7"/>
        <v>600</v>
      </c>
      <c r="I29" s="549">
        <f t="shared" si="6"/>
        <v>10350</v>
      </c>
      <c r="J29" s="561"/>
      <c r="O29" s="510"/>
      <c r="P29" s="510"/>
      <c r="Q29" s="510"/>
      <c r="R29" s="510"/>
      <c r="S29" s="510"/>
      <c r="AF29" s="511"/>
    </row>
    <row r="30" spans="1:33" s="509" customFormat="1">
      <c r="A30" s="557" t="s">
        <v>1467</v>
      </c>
      <c r="B30" s="558" t="s">
        <v>1474</v>
      </c>
      <c r="C30" s="546">
        <v>1</v>
      </c>
      <c r="D30" s="559" t="s">
        <v>37</v>
      </c>
      <c r="E30" s="546">
        <v>16900</v>
      </c>
      <c r="F30" s="549">
        <f t="shared" si="5"/>
        <v>16900</v>
      </c>
      <c r="G30" s="546">
        <v>600</v>
      </c>
      <c r="H30" s="549">
        <f t="shared" si="7"/>
        <v>600</v>
      </c>
      <c r="I30" s="549">
        <f t="shared" si="6"/>
        <v>17500</v>
      </c>
      <c r="J30" s="550"/>
      <c r="O30" s="510"/>
      <c r="P30" s="510"/>
      <c r="Q30" s="510"/>
      <c r="R30" s="510"/>
      <c r="S30" s="510"/>
      <c r="AF30" s="511"/>
    </row>
    <row r="31" spans="1:33" s="509" customFormat="1">
      <c r="A31" s="557" t="s">
        <v>1468</v>
      </c>
      <c r="B31" s="558" t="s">
        <v>1475</v>
      </c>
      <c r="C31" s="546">
        <v>13</v>
      </c>
      <c r="D31" s="559" t="s">
        <v>37</v>
      </c>
      <c r="E31" s="546">
        <v>4020</v>
      </c>
      <c r="F31" s="549">
        <f t="shared" si="5"/>
        <v>52260</v>
      </c>
      <c r="G31" s="546">
        <v>1000</v>
      </c>
      <c r="H31" s="549">
        <f t="shared" si="7"/>
        <v>13000</v>
      </c>
      <c r="I31" s="549">
        <f t="shared" si="6"/>
        <v>65260</v>
      </c>
      <c r="J31" s="550"/>
      <c r="O31" s="510"/>
      <c r="P31" s="510"/>
      <c r="Q31" s="510"/>
      <c r="R31" s="510"/>
      <c r="S31" s="510"/>
      <c r="AF31" s="511"/>
    </row>
    <row r="32" spans="1:33" s="509" customFormat="1">
      <c r="A32" s="1322"/>
      <c r="B32" s="551" t="s">
        <v>1415</v>
      </c>
      <c r="C32" s="636"/>
      <c r="D32" s="552"/>
      <c r="E32" s="926"/>
      <c r="F32" s="926"/>
      <c r="G32" s="926"/>
      <c r="H32" s="926"/>
      <c r="I32" s="928">
        <f>SUM(I25:I31)</f>
        <v>262480</v>
      </c>
      <c r="J32" s="553"/>
      <c r="O32" s="510"/>
      <c r="P32" s="510"/>
      <c r="Q32" s="510"/>
      <c r="R32" s="510"/>
      <c r="S32" s="510"/>
      <c r="AF32" s="511"/>
    </row>
    <row r="33" spans="1:32">
      <c r="A33" s="1294"/>
      <c r="B33" s="501" t="s">
        <v>1417</v>
      </c>
      <c r="C33" s="1299"/>
      <c r="D33" s="1298"/>
      <c r="E33" s="1300"/>
      <c r="F33" s="1300"/>
      <c r="G33" s="1300"/>
      <c r="H33" s="1300">
        <f>SUM(H14:H14)</f>
        <v>0</v>
      </c>
      <c r="I33" s="1300">
        <f>I23+I32</f>
        <v>476460</v>
      </c>
      <c r="J33" s="501"/>
      <c r="O33" s="433"/>
      <c r="P33" s="433"/>
      <c r="Q33" s="433"/>
      <c r="R33" s="433"/>
      <c r="S33" s="433"/>
      <c r="AF33" s="465"/>
    </row>
    <row r="34" spans="1:32">
      <c r="A34" s="1353"/>
      <c r="B34" s="444"/>
      <c r="C34" s="1354"/>
      <c r="D34" s="443"/>
      <c r="E34" s="1355"/>
      <c r="O34" s="433"/>
      <c r="P34" s="433"/>
      <c r="Q34" s="433"/>
      <c r="R34" s="433"/>
      <c r="S34" s="433"/>
      <c r="AF34" s="465"/>
    </row>
    <row r="35" spans="1:32">
      <c r="A35" s="1353"/>
      <c r="B35" s="444"/>
      <c r="C35" s="1354"/>
      <c r="D35" s="443"/>
      <c r="E35" s="1355"/>
      <c r="O35" s="433"/>
      <c r="P35" s="433"/>
      <c r="Q35" s="433"/>
      <c r="R35" s="433"/>
      <c r="S35" s="433"/>
      <c r="AF35" s="465"/>
    </row>
    <row r="36" spans="1:32">
      <c r="B36" s="444"/>
      <c r="C36" s="1354"/>
      <c r="D36" s="443"/>
      <c r="E36" s="1355"/>
      <c r="O36" s="433"/>
      <c r="P36" s="433"/>
      <c r="Q36" s="433"/>
      <c r="R36" s="433"/>
      <c r="S36" s="433"/>
      <c r="AF36" s="465"/>
    </row>
    <row r="37" spans="1:32">
      <c r="B37" s="444"/>
      <c r="C37" s="1354"/>
      <c r="D37" s="443"/>
      <c r="E37" s="1355"/>
      <c r="F37" s="1356"/>
      <c r="O37" s="433"/>
      <c r="P37" s="433"/>
      <c r="Q37" s="433"/>
      <c r="R37" s="433"/>
    </row>
    <row r="38" spans="1:32">
      <c r="B38" s="444"/>
      <c r="C38" s="1354"/>
      <c r="D38" s="443"/>
      <c r="E38" s="1355"/>
      <c r="AF38" s="508"/>
    </row>
    <row r="39" spans="1:32">
      <c r="E39" s="1355"/>
    </row>
    <row r="40" spans="1:32">
      <c r="E40" s="1355"/>
    </row>
    <row r="41" spans="1:32">
      <c r="E41" s="1355"/>
    </row>
  </sheetData>
  <mergeCells count="24">
    <mergeCell ref="I12:I13"/>
    <mergeCell ref="J12:J13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printOptions horizontalCentered="1"/>
  <pageMargins left="0.31496062992125984" right="0.16" top="0.32" bottom="0.24" header="0.26" footer="0.19"/>
  <pageSetup paperSize="9" scale="6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2"/>
  <sheetViews>
    <sheetView workbookViewId="0"/>
  </sheetViews>
  <sheetFormatPr defaultRowHeight="21.75"/>
  <cols>
    <col min="1" max="1" width="4.5703125" style="62" bestFit="1" customWidth="1"/>
    <col min="2" max="2" width="32.28515625" style="62" customWidth="1"/>
    <col min="3" max="5" width="12.5703125" style="62" customWidth="1"/>
    <col min="6" max="6" width="14" style="62" customWidth="1"/>
    <col min="7" max="9" width="12.5703125" style="62" customWidth="1"/>
    <col min="10" max="10" width="14.42578125" style="62" customWidth="1"/>
    <col min="11" max="11" width="12.5703125" style="62" customWidth="1"/>
    <col min="12" max="12" width="13.7109375" style="62" customWidth="1"/>
    <col min="13" max="15" width="10" style="62" customWidth="1"/>
    <col min="16" max="17" width="10.5703125" style="62" customWidth="1"/>
    <col min="18" max="19" width="11.7109375" style="62" customWidth="1"/>
    <col min="20" max="22" width="8.5703125" style="62" customWidth="1"/>
    <col min="23" max="23" width="9.42578125" style="62" customWidth="1"/>
    <col min="24" max="27" width="13.28515625" style="62" customWidth="1"/>
    <col min="28" max="29" width="7.5703125" style="62" customWidth="1"/>
    <col min="30" max="30" width="8.7109375" style="62" customWidth="1"/>
    <col min="31" max="31" width="11.28515625" style="62" customWidth="1"/>
    <col min="32" max="32" width="11.7109375" style="62" customWidth="1"/>
    <col min="33" max="33" width="13.5703125" style="62" customWidth="1"/>
    <col min="34" max="34" width="10.5703125" style="62" customWidth="1"/>
    <col min="35" max="35" width="11.7109375" style="62" customWidth="1"/>
    <col min="36" max="36" width="11" style="62" customWidth="1"/>
    <col min="37" max="37" width="9.7109375" style="62" customWidth="1"/>
    <col min="38" max="38" width="10.42578125" style="62" customWidth="1"/>
    <col min="39" max="74" width="6.5703125" style="62" customWidth="1"/>
    <col min="75" max="75" width="8.28515625" style="62" customWidth="1"/>
    <col min="76" max="79" width="8.42578125" style="62" customWidth="1"/>
    <col min="80" max="80" width="7.5703125" style="62" customWidth="1"/>
    <col min="81" max="82" width="9.28515625" style="62"/>
    <col min="83" max="83" width="68.7109375" style="62" customWidth="1"/>
    <col min="84" max="84" width="9.28515625" style="62" bestFit="1" customWidth="1"/>
    <col min="85" max="85" width="11" style="62" bestFit="1" customWidth="1"/>
    <col min="86" max="86" width="10.7109375" style="62" customWidth="1"/>
    <col min="87" max="87" width="9.28515625" style="62" customWidth="1"/>
    <col min="88" max="88" width="11" style="62" bestFit="1" customWidth="1"/>
    <col min="89" max="89" width="9.28515625" style="62" bestFit="1" customWidth="1"/>
    <col min="90" max="90" width="12.28515625" style="62" customWidth="1"/>
    <col min="91" max="91" width="9.28515625" style="62"/>
    <col min="92" max="92" width="47.28515625" style="62" customWidth="1"/>
    <col min="93" max="94" width="9.28515625" style="62" bestFit="1" customWidth="1"/>
    <col min="95" max="95" width="9.28515625" style="62" customWidth="1"/>
    <col min="96" max="96" width="11" style="62" bestFit="1" customWidth="1"/>
    <col min="97" max="97" width="12.42578125" style="62" bestFit="1" customWidth="1"/>
    <col min="98" max="98" width="11" style="62" bestFit="1" customWidth="1"/>
    <col min="99" max="123" width="9.28515625" style="62"/>
    <col min="124" max="128" width="9.28515625" style="63"/>
    <col min="129" max="258" width="9.28515625" style="57"/>
    <col min="259" max="259" width="4.5703125" style="57" bestFit="1" customWidth="1"/>
    <col min="260" max="260" width="32.28515625" style="57" customWidth="1"/>
    <col min="261" max="267" width="12.5703125" style="57" customWidth="1"/>
    <col min="268" max="268" width="14.42578125" style="57" customWidth="1"/>
    <col min="269" max="269" width="12.5703125" style="57" customWidth="1"/>
    <col min="270" max="270" width="13.7109375" style="57" customWidth="1"/>
    <col min="271" max="273" width="10" style="57" customWidth="1"/>
    <col min="274" max="275" width="10.5703125" style="57" customWidth="1"/>
    <col min="276" max="277" width="11.7109375" style="57" customWidth="1"/>
    <col min="278" max="280" width="8.5703125" style="57" customWidth="1"/>
    <col min="281" max="281" width="9.42578125" style="57" customWidth="1"/>
    <col min="282" max="283" width="13.28515625" style="57" customWidth="1"/>
    <col min="284" max="285" width="0" style="57" hidden="1" customWidth="1"/>
    <col min="286" max="287" width="7.5703125" style="57" customWidth="1"/>
    <col min="288" max="288" width="8.7109375" style="57" customWidth="1"/>
    <col min="289" max="289" width="11.28515625" style="57" customWidth="1"/>
    <col min="290" max="290" width="11.7109375" style="57" customWidth="1"/>
    <col min="291" max="291" width="13.5703125" style="57" customWidth="1"/>
    <col min="292" max="292" width="10.5703125" style="57" customWidth="1"/>
    <col min="293" max="293" width="11.7109375" style="57" customWidth="1"/>
    <col min="294" max="294" width="11" style="57" customWidth="1"/>
    <col min="295" max="295" width="9.7109375" style="57" customWidth="1"/>
    <col min="296" max="297" width="0" style="57" hidden="1" customWidth="1"/>
    <col min="298" max="298" width="10.42578125" style="57" customWidth="1"/>
    <col min="299" max="334" width="6.5703125" style="57" customWidth="1"/>
    <col min="335" max="335" width="8.28515625" style="57" customWidth="1"/>
    <col min="336" max="339" width="8.42578125" style="57" customWidth="1"/>
    <col min="340" max="340" width="7.5703125" style="57" customWidth="1"/>
    <col min="341" max="342" width="9.28515625" style="57"/>
    <col min="343" max="343" width="54.42578125" style="57" customWidth="1"/>
    <col min="344" max="345" width="9.28515625" style="57" bestFit="1" customWidth="1"/>
    <col min="346" max="346" width="11" style="57" bestFit="1" customWidth="1"/>
    <col min="347" max="347" width="9.28515625" style="57" bestFit="1" customWidth="1"/>
    <col min="348" max="348" width="9.28515625" style="57"/>
    <col min="349" max="349" width="47.28515625" style="57" customWidth="1"/>
    <col min="350" max="351" width="9.28515625" style="57" bestFit="1" customWidth="1"/>
    <col min="352" max="352" width="11" style="57" bestFit="1" customWidth="1"/>
    <col min="353" max="353" width="9.28515625" style="57"/>
    <col min="354" max="354" width="11" style="57" bestFit="1" customWidth="1"/>
    <col min="355" max="514" width="9.28515625" style="57"/>
    <col min="515" max="515" width="4.5703125" style="57" bestFit="1" customWidth="1"/>
    <col min="516" max="516" width="32.28515625" style="57" customWidth="1"/>
    <col min="517" max="523" width="12.5703125" style="57" customWidth="1"/>
    <col min="524" max="524" width="14.42578125" style="57" customWidth="1"/>
    <col min="525" max="525" width="12.5703125" style="57" customWidth="1"/>
    <col min="526" max="526" width="13.7109375" style="57" customWidth="1"/>
    <col min="527" max="529" width="10" style="57" customWidth="1"/>
    <col min="530" max="531" width="10.5703125" style="57" customWidth="1"/>
    <col min="532" max="533" width="11.7109375" style="57" customWidth="1"/>
    <col min="534" max="536" width="8.5703125" style="57" customWidth="1"/>
    <col min="537" max="537" width="9.42578125" style="57" customWidth="1"/>
    <col min="538" max="539" width="13.28515625" style="57" customWidth="1"/>
    <col min="540" max="541" width="0" style="57" hidden="1" customWidth="1"/>
    <col min="542" max="543" width="7.5703125" style="57" customWidth="1"/>
    <col min="544" max="544" width="8.7109375" style="57" customWidth="1"/>
    <col min="545" max="545" width="11.28515625" style="57" customWidth="1"/>
    <col min="546" max="546" width="11.7109375" style="57" customWidth="1"/>
    <col min="547" max="547" width="13.5703125" style="57" customWidth="1"/>
    <col min="548" max="548" width="10.5703125" style="57" customWidth="1"/>
    <col min="549" max="549" width="11.7109375" style="57" customWidth="1"/>
    <col min="550" max="550" width="11" style="57" customWidth="1"/>
    <col min="551" max="551" width="9.7109375" style="57" customWidth="1"/>
    <col min="552" max="553" width="0" style="57" hidden="1" customWidth="1"/>
    <col min="554" max="554" width="10.42578125" style="57" customWidth="1"/>
    <col min="555" max="590" width="6.5703125" style="57" customWidth="1"/>
    <col min="591" max="591" width="8.28515625" style="57" customWidth="1"/>
    <col min="592" max="595" width="8.42578125" style="57" customWidth="1"/>
    <col min="596" max="596" width="7.5703125" style="57" customWidth="1"/>
    <col min="597" max="598" width="9.28515625" style="57"/>
    <col min="599" max="599" width="54.42578125" style="57" customWidth="1"/>
    <col min="600" max="601" width="9.28515625" style="57" bestFit="1" customWidth="1"/>
    <col min="602" max="602" width="11" style="57" bestFit="1" customWidth="1"/>
    <col min="603" max="603" width="9.28515625" style="57" bestFit="1" customWidth="1"/>
    <col min="604" max="604" width="9.28515625" style="57"/>
    <col min="605" max="605" width="47.28515625" style="57" customWidth="1"/>
    <col min="606" max="607" width="9.28515625" style="57" bestFit="1" customWidth="1"/>
    <col min="608" max="608" width="11" style="57" bestFit="1" customWidth="1"/>
    <col min="609" max="609" width="9.28515625" style="57"/>
    <col min="610" max="610" width="11" style="57" bestFit="1" customWidth="1"/>
    <col min="611" max="770" width="9.28515625" style="57"/>
    <col min="771" max="771" width="4.5703125" style="57" bestFit="1" customWidth="1"/>
    <col min="772" max="772" width="32.28515625" style="57" customWidth="1"/>
    <col min="773" max="779" width="12.5703125" style="57" customWidth="1"/>
    <col min="780" max="780" width="14.42578125" style="57" customWidth="1"/>
    <col min="781" max="781" width="12.5703125" style="57" customWidth="1"/>
    <col min="782" max="782" width="13.7109375" style="57" customWidth="1"/>
    <col min="783" max="785" width="10" style="57" customWidth="1"/>
    <col min="786" max="787" width="10.5703125" style="57" customWidth="1"/>
    <col min="788" max="789" width="11.7109375" style="57" customWidth="1"/>
    <col min="790" max="792" width="8.5703125" style="57" customWidth="1"/>
    <col min="793" max="793" width="9.42578125" style="57" customWidth="1"/>
    <col min="794" max="795" width="13.28515625" style="57" customWidth="1"/>
    <col min="796" max="797" width="0" style="57" hidden="1" customWidth="1"/>
    <col min="798" max="799" width="7.5703125" style="57" customWidth="1"/>
    <col min="800" max="800" width="8.7109375" style="57" customWidth="1"/>
    <col min="801" max="801" width="11.28515625" style="57" customWidth="1"/>
    <col min="802" max="802" width="11.7109375" style="57" customWidth="1"/>
    <col min="803" max="803" width="13.5703125" style="57" customWidth="1"/>
    <col min="804" max="804" width="10.5703125" style="57" customWidth="1"/>
    <col min="805" max="805" width="11.7109375" style="57" customWidth="1"/>
    <col min="806" max="806" width="11" style="57" customWidth="1"/>
    <col min="807" max="807" width="9.7109375" style="57" customWidth="1"/>
    <col min="808" max="809" width="0" style="57" hidden="1" customWidth="1"/>
    <col min="810" max="810" width="10.42578125" style="57" customWidth="1"/>
    <col min="811" max="846" width="6.5703125" style="57" customWidth="1"/>
    <col min="847" max="847" width="8.28515625" style="57" customWidth="1"/>
    <col min="848" max="851" width="8.42578125" style="57" customWidth="1"/>
    <col min="852" max="852" width="7.5703125" style="57" customWidth="1"/>
    <col min="853" max="854" width="9.28515625" style="57"/>
    <col min="855" max="855" width="54.42578125" style="57" customWidth="1"/>
    <col min="856" max="857" width="9.28515625" style="57" bestFit="1" customWidth="1"/>
    <col min="858" max="858" width="11" style="57" bestFit="1" customWidth="1"/>
    <col min="859" max="859" width="9.28515625" style="57" bestFit="1" customWidth="1"/>
    <col min="860" max="860" width="9.28515625" style="57"/>
    <col min="861" max="861" width="47.28515625" style="57" customWidth="1"/>
    <col min="862" max="863" width="9.28515625" style="57" bestFit="1" customWidth="1"/>
    <col min="864" max="864" width="11" style="57" bestFit="1" customWidth="1"/>
    <col min="865" max="865" width="9.28515625" style="57"/>
    <col min="866" max="866" width="11" style="57" bestFit="1" customWidth="1"/>
    <col min="867" max="1026" width="9.28515625" style="57"/>
    <col min="1027" max="1027" width="4.5703125" style="57" bestFit="1" customWidth="1"/>
    <col min="1028" max="1028" width="32.28515625" style="57" customWidth="1"/>
    <col min="1029" max="1035" width="12.5703125" style="57" customWidth="1"/>
    <col min="1036" max="1036" width="14.42578125" style="57" customWidth="1"/>
    <col min="1037" max="1037" width="12.5703125" style="57" customWidth="1"/>
    <col min="1038" max="1038" width="13.7109375" style="57" customWidth="1"/>
    <col min="1039" max="1041" width="10" style="57" customWidth="1"/>
    <col min="1042" max="1043" width="10.5703125" style="57" customWidth="1"/>
    <col min="1044" max="1045" width="11.7109375" style="57" customWidth="1"/>
    <col min="1046" max="1048" width="8.5703125" style="57" customWidth="1"/>
    <col min="1049" max="1049" width="9.42578125" style="57" customWidth="1"/>
    <col min="1050" max="1051" width="13.28515625" style="57" customWidth="1"/>
    <col min="1052" max="1053" width="0" style="57" hidden="1" customWidth="1"/>
    <col min="1054" max="1055" width="7.5703125" style="57" customWidth="1"/>
    <col min="1056" max="1056" width="8.7109375" style="57" customWidth="1"/>
    <col min="1057" max="1057" width="11.28515625" style="57" customWidth="1"/>
    <col min="1058" max="1058" width="11.7109375" style="57" customWidth="1"/>
    <col min="1059" max="1059" width="13.5703125" style="57" customWidth="1"/>
    <col min="1060" max="1060" width="10.5703125" style="57" customWidth="1"/>
    <col min="1061" max="1061" width="11.7109375" style="57" customWidth="1"/>
    <col min="1062" max="1062" width="11" style="57" customWidth="1"/>
    <col min="1063" max="1063" width="9.7109375" style="57" customWidth="1"/>
    <col min="1064" max="1065" width="0" style="57" hidden="1" customWidth="1"/>
    <col min="1066" max="1066" width="10.42578125" style="57" customWidth="1"/>
    <col min="1067" max="1102" width="6.5703125" style="57" customWidth="1"/>
    <col min="1103" max="1103" width="8.28515625" style="57" customWidth="1"/>
    <col min="1104" max="1107" width="8.42578125" style="57" customWidth="1"/>
    <col min="1108" max="1108" width="7.5703125" style="57" customWidth="1"/>
    <col min="1109" max="1110" width="9.28515625" style="57"/>
    <col min="1111" max="1111" width="54.42578125" style="57" customWidth="1"/>
    <col min="1112" max="1113" width="9.28515625" style="57" bestFit="1" customWidth="1"/>
    <col min="1114" max="1114" width="11" style="57" bestFit="1" customWidth="1"/>
    <col min="1115" max="1115" width="9.28515625" style="57" bestFit="1" customWidth="1"/>
    <col min="1116" max="1116" width="9.28515625" style="57"/>
    <col min="1117" max="1117" width="47.28515625" style="57" customWidth="1"/>
    <col min="1118" max="1119" width="9.28515625" style="57" bestFit="1" customWidth="1"/>
    <col min="1120" max="1120" width="11" style="57" bestFit="1" customWidth="1"/>
    <col min="1121" max="1121" width="9.28515625" style="57"/>
    <col min="1122" max="1122" width="11" style="57" bestFit="1" customWidth="1"/>
    <col min="1123" max="1282" width="9.28515625" style="57"/>
    <col min="1283" max="1283" width="4.5703125" style="57" bestFit="1" customWidth="1"/>
    <col min="1284" max="1284" width="32.28515625" style="57" customWidth="1"/>
    <col min="1285" max="1291" width="12.5703125" style="57" customWidth="1"/>
    <col min="1292" max="1292" width="14.42578125" style="57" customWidth="1"/>
    <col min="1293" max="1293" width="12.5703125" style="57" customWidth="1"/>
    <col min="1294" max="1294" width="13.7109375" style="57" customWidth="1"/>
    <col min="1295" max="1297" width="10" style="57" customWidth="1"/>
    <col min="1298" max="1299" width="10.5703125" style="57" customWidth="1"/>
    <col min="1300" max="1301" width="11.7109375" style="57" customWidth="1"/>
    <col min="1302" max="1304" width="8.5703125" style="57" customWidth="1"/>
    <col min="1305" max="1305" width="9.42578125" style="57" customWidth="1"/>
    <col min="1306" max="1307" width="13.28515625" style="57" customWidth="1"/>
    <col min="1308" max="1309" width="0" style="57" hidden="1" customWidth="1"/>
    <col min="1310" max="1311" width="7.5703125" style="57" customWidth="1"/>
    <col min="1312" max="1312" width="8.7109375" style="57" customWidth="1"/>
    <col min="1313" max="1313" width="11.28515625" style="57" customWidth="1"/>
    <col min="1314" max="1314" width="11.7109375" style="57" customWidth="1"/>
    <col min="1315" max="1315" width="13.5703125" style="57" customWidth="1"/>
    <col min="1316" max="1316" width="10.5703125" style="57" customWidth="1"/>
    <col min="1317" max="1317" width="11.7109375" style="57" customWidth="1"/>
    <col min="1318" max="1318" width="11" style="57" customWidth="1"/>
    <col min="1319" max="1319" width="9.7109375" style="57" customWidth="1"/>
    <col min="1320" max="1321" width="0" style="57" hidden="1" customWidth="1"/>
    <col min="1322" max="1322" width="10.42578125" style="57" customWidth="1"/>
    <col min="1323" max="1358" width="6.5703125" style="57" customWidth="1"/>
    <col min="1359" max="1359" width="8.28515625" style="57" customWidth="1"/>
    <col min="1360" max="1363" width="8.42578125" style="57" customWidth="1"/>
    <col min="1364" max="1364" width="7.5703125" style="57" customWidth="1"/>
    <col min="1365" max="1366" width="9.28515625" style="57"/>
    <col min="1367" max="1367" width="54.42578125" style="57" customWidth="1"/>
    <col min="1368" max="1369" width="9.28515625" style="57" bestFit="1" customWidth="1"/>
    <col min="1370" max="1370" width="11" style="57" bestFit="1" customWidth="1"/>
    <col min="1371" max="1371" width="9.28515625" style="57" bestFit="1" customWidth="1"/>
    <col min="1372" max="1372" width="9.28515625" style="57"/>
    <col min="1373" max="1373" width="47.28515625" style="57" customWidth="1"/>
    <col min="1374" max="1375" width="9.28515625" style="57" bestFit="1" customWidth="1"/>
    <col min="1376" max="1376" width="11" style="57" bestFit="1" customWidth="1"/>
    <col min="1377" max="1377" width="9.28515625" style="57"/>
    <col min="1378" max="1378" width="11" style="57" bestFit="1" customWidth="1"/>
    <col min="1379" max="1538" width="9.28515625" style="57"/>
    <col min="1539" max="1539" width="4.5703125" style="57" bestFit="1" customWidth="1"/>
    <col min="1540" max="1540" width="32.28515625" style="57" customWidth="1"/>
    <col min="1541" max="1547" width="12.5703125" style="57" customWidth="1"/>
    <col min="1548" max="1548" width="14.42578125" style="57" customWidth="1"/>
    <col min="1549" max="1549" width="12.5703125" style="57" customWidth="1"/>
    <col min="1550" max="1550" width="13.7109375" style="57" customWidth="1"/>
    <col min="1551" max="1553" width="10" style="57" customWidth="1"/>
    <col min="1554" max="1555" width="10.5703125" style="57" customWidth="1"/>
    <col min="1556" max="1557" width="11.7109375" style="57" customWidth="1"/>
    <col min="1558" max="1560" width="8.5703125" style="57" customWidth="1"/>
    <col min="1561" max="1561" width="9.42578125" style="57" customWidth="1"/>
    <col min="1562" max="1563" width="13.28515625" style="57" customWidth="1"/>
    <col min="1564" max="1565" width="0" style="57" hidden="1" customWidth="1"/>
    <col min="1566" max="1567" width="7.5703125" style="57" customWidth="1"/>
    <col min="1568" max="1568" width="8.7109375" style="57" customWidth="1"/>
    <col min="1569" max="1569" width="11.28515625" style="57" customWidth="1"/>
    <col min="1570" max="1570" width="11.7109375" style="57" customWidth="1"/>
    <col min="1571" max="1571" width="13.5703125" style="57" customWidth="1"/>
    <col min="1572" max="1572" width="10.5703125" style="57" customWidth="1"/>
    <col min="1573" max="1573" width="11.7109375" style="57" customWidth="1"/>
    <col min="1574" max="1574" width="11" style="57" customWidth="1"/>
    <col min="1575" max="1575" width="9.7109375" style="57" customWidth="1"/>
    <col min="1576" max="1577" width="0" style="57" hidden="1" customWidth="1"/>
    <col min="1578" max="1578" width="10.42578125" style="57" customWidth="1"/>
    <col min="1579" max="1614" width="6.5703125" style="57" customWidth="1"/>
    <col min="1615" max="1615" width="8.28515625" style="57" customWidth="1"/>
    <col min="1616" max="1619" width="8.42578125" style="57" customWidth="1"/>
    <col min="1620" max="1620" width="7.5703125" style="57" customWidth="1"/>
    <col min="1621" max="1622" width="9.28515625" style="57"/>
    <col min="1623" max="1623" width="54.42578125" style="57" customWidth="1"/>
    <col min="1624" max="1625" width="9.28515625" style="57" bestFit="1" customWidth="1"/>
    <col min="1626" max="1626" width="11" style="57" bestFit="1" customWidth="1"/>
    <col min="1627" max="1627" width="9.28515625" style="57" bestFit="1" customWidth="1"/>
    <col min="1628" max="1628" width="9.28515625" style="57"/>
    <col min="1629" max="1629" width="47.28515625" style="57" customWidth="1"/>
    <col min="1630" max="1631" width="9.28515625" style="57" bestFit="1" customWidth="1"/>
    <col min="1632" max="1632" width="11" style="57" bestFit="1" customWidth="1"/>
    <col min="1633" max="1633" width="9.28515625" style="57"/>
    <col min="1634" max="1634" width="11" style="57" bestFit="1" customWidth="1"/>
    <col min="1635" max="1794" width="9.28515625" style="57"/>
    <col min="1795" max="1795" width="4.5703125" style="57" bestFit="1" customWidth="1"/>
    <col min="1796" max="1796" width="32.28515625" style="57" customWidth="1"/>
    <col min="1797" max="1803" width="12.5703125" style="57" customWidth="1"/>
    <col min="1804" max="1804" width="14.42578125" style="57" customWidth="1"/>
    <col min="1805" max="1805" width="12.5703125" style="57" customWidth="1"/>
    <col min="1806" max="1806" width="13.7109375" style="57" customWidth="1"/>
    <col min="1807" max="1809" width="10" style="57" customWidth="1"/>
    <col min="1810" max="1811" width="10.5703125" style="57" customWidth="1"/>
    <col min="1812" max="1813" width="11.7109375" style="57" customWidth="1"/>
    <col min="1814" max="1816" width="8.5703125" style="57" customWidth="1"/>
    <col min="1817" max="1817" width="9.42578125" style="57" customWidth="1"/>
    <col min="1818" max="1819" width="13.28515625" style="57" customWidth="1"/>
    <col min="1820" max="1821" width="0" style="57" hidden="1" customWidth="1"/>
    <col min="1822" max="1823" width="7.5703125" style="57" customWidth="1"/>
    <col min="1824" max="1824" width="8.7109375" style="57" customWidth="1"/>
    <col min="1825" max="1825" width="11.28515625" style="57" customWidth="1"/>
    <col min="1826" max="1826" width="11.7109375" style="57" customWidth="1"/>
    <col min="1827" max="1827" width="13.5703125" style="57" customWidth="1"/>
    <col min="1828" max="1828" width="10.5703125" style="57" customWidth="1"/>
    <col min="1829" max="1829" width="11.7109375" style="57" customWidth="1"/>
    <col min="1830" max="1830" width="11" style="57" customWidth="1"/>
    <col min="1831" max="1831" width="9.7109375" style="57" customWidth="1"/>
    <col min="1832" max="1833" width="0" style="57" hidden="1" customWidth="1"/>
    <col min="1834" max="1834" width="10.42578125" style="57" customWidth="1"/>
    <col min="1835" max="1870" width="6.5703125" style="57" customWidth="1"/>
    <col min="1871" max="1871" width="8.28515625" style="57" customWidth="1"/>
    <col min="1872" max="1875" width="8.42578125" style="57" customWidth="1"/>
    <col min="1876" max="1876" width="7.5703125" style="57" customWidth="1"/>
    <col min="1877" max="1878" width="9.28515625" style="57"/>
    <col min="1879" max="1879" width="54.42578125" style="57" customWidth="1"/>
    <col min="1880" max="1881" width="9.28515625" style="57" bestFit="1" customWidth="1"/>
    <col min="1882" max="1882" width="11" style="57" bestFit="1" customWidth="1"/>
    <col min="1883" max="1883" width="9.28515625" style="57" bestFit="1" customWidth="1"/>
    <col min="1884" max="1884" width="9.28515625" style="57"/>
    <col min="1885" max="1885" width="47.28515625" style="57" customWidth="1"/>
    <col min="1886" max="1887" width="9.28515625" style="57" bestFit="1" customWidth="1"/>
    <col min="1888" max="1888" width="11" style="57" bestFit="1" customWidth="1"/>
    <col min="1889" max="1889" width="9.28515625" style="57"/>
    <col min="1890" max="1890" width="11" style="57" bestFit="1" customWidth="1"/>
    <col min="1891" max="2050" width="9.28515625" style="57"/>
    <col min="2051" max="2051" width="4.5703125" style="57" bestFit="1" customWidth="1"/>
    <col min="2052" max="2052" width="32.28515625" style="57" customWidth="1"/>
    <col min="2053" max="2059" width="12.5703125" style="57" customWidth="1"/>
    <col min="2060" max="2060" width="14.42578125" style="57" customWidth="1"/>
    <col min="2061" max="2061" width="12.5703125" style="57" customWidth="1"/>
    <col min="2062" max="2062" width="13.7109375" style="57" customWidth="1"/>
    <col min="2063" max="2065" width="10" style="57" customWidth="1"/>
    <col min="2066" max="2067" width="10.5703125" style="57" customWidth="1"/>
    <col min="2068" max="2069" width="11.7109375" style="57" customWidth="1"/>
    <col min="2070" max="2072" width="8.5703125" style="57" customWidth="1"/>
    <col min="2073" max="2073" width="9.42578125" style="57" customWidth="1"/>
    <col min="2074" max="2075" width="13.28515625" style="57" customWidth="1"/>
    <col min="2076" max="2077" width="0" style="57" hidden="1" customWidth="1"/>
    <col min="2078" max="2079" width="7.5703125" style="57" customWidth="1"/>
    <col min="2080" max="2080" width="8.7109375" style="57" customWidth="1"/>
    <col min="2081" max="2081" width="11.28515625" style="57" customWidth="1"/>
    <col min="2082" max="2082" width="11.7109375" style="57" customWidth="1"/>
    <col min="2083" max="2083" width="13.5703125" style="57" customWidth="1"/>
    <col min="2084" max="2084" width="10.5703125" style="57" customWidth="1"/>
    <col min="2085" max="2085" width="11.7109375" style="57" customWidth="1"/>
    <col min="2086" max="2086" width="11" style="57" customWidth="1"/>
    <col min="2087" max="2087" width="9.7109375" style="57" customWidth="1"/>
    <col min="2088" max="2089" width="0" style="57" hidden="1" customWidth="1"/>
    <col min="2090" max="2090" width="10.42578125" style="57" customWidth="1"/>
    <col min="2091" max="2126" width="6.5703125" style="57" customWidth="1"/>
    <col min="2127" max="2127" width="8.28515625" style="57" customWidth="1"/>
    <col min="2128" max="2131" width="8.42578125" style="57" customWidth="1"/>
    <col min="2132" max="2132" width="7.5703125" style="57" customWidth="1"/>
    <col min="2133" max="2134" width="9.28515625" style="57"/>
    <col min="2135" max="2135" width="54.42578125" style="57" customWidth="1"/>
    <col min="2136" max="2137" width="9.28515625" style="57" bestFit="1" customWidth="1"/>
    <col min="2138" max="2138" width="11" style="57" bestFit="1" customWidth="1"/>
    <col min="2139" max="2139" width="9.28515625" style="57" bestFit="1" customWidth="1"/>
    <col min="2140" max="2140" width="9.28515625" style="57"/>
    <col min="2141" max="2141" width="47.28515625" style="57" customWidth="1"/>
    <col min="2142" max="2143" width="9.28515625" style="57" bestFit="1" customWidth="1"/>
    <col min="2144" max="2144" width="11" style="57" bestFit="1" customWidth="1"/>
    <col min="2145" max="2145" width="9.28515625" style="57"/>
    <col min="2146" max="2146" width="11" style="57" bestFit="1" customWidth="1"/>
    <col min="2147" max="2306" width="9.28515625" style="57"/>
    <col min="2307" max="2307" width="4.5703125" style="57" bestFit="1" customWidth="1"/>
    <col min="2308" max="2308" width="32.28515625" style="57" customWidth="1"/>
    <col min="2309" max="2315" width="12.5703125" style="57" customWidth="1"/>
    <col min="2316" max="2316" width="14.42578125" style="57" customWidth="1"/>
    <col min="2317" max="2317" width="12.5703125" style="57" customWidth="1"/>
    <col min="2318" max="2318" width="13.7109375" style="57" customWidth="1"/>
    <col min="2319" max="2321" width="10" style="57" customWidth="1"/>
    <col min="2322" max="2323" width="10.5703125" style="57" customWidth="1"/>
    <col min="2324" max="2325" width="11.7109375" style="57" customWidth="1"/>
    <col min="2326" max="2328" width="8.5703125" style="57" customWidth="1"/>
    <col min="2329" max="2329" width="9.42578125" style="57" customWidth="1"/>
    <col min="2330" max="2331" width="13.28515625" style="57" customWidth="1"/>
    <col min="2332" max="2333" width="0" style="57" hidden="1" customWidth="1"/>
    <col min="2334" max="2335" width="7.5703125" style="57" customWidth="1"/>
    <col min="2336" max="2336" width="8.7109375" style="57" customWidth="1"/>
    <col min="2337" max="2337" width="11.28515625" style="57" customWidth="1"/>
    <col min="2338" max="2338" width="11.7109375" style="57" customWidth="1"/>
    <col min="2339" max="2339" width="13.5703125" style="57" customWidth="1"/>
    <col min="2340" max="2340" width="10.5703125" style="57" customWidth="1"/>
    <col min="2341" max="2341" width="11.7109375" style="57" customWidth="1"/>
    <col min="2342" max="2342" width="11" style="57" customWidth="1"/>
    <col min="2343" max="2343" width="9.7109375" style="57" customWidth="1"/>
    <col min="2344" max="2345" width="0" style="57" hidden="1" customWidth="1"/>
    <col min="2346" max="2346" width="10.42578125" style="57" customWidth="1"/>
    <col min="2347" max="2382" width="6.5703125" style="57" customWidth="1"/>
    <col min="2383" max="2383" width="8.28515625" style="57" customWidth="1"/>
    <col min="2384" max="2387" width="8.42578125" style="57" customWidth="1"/>
    <col min="2388" max="2388" width="7.5703125" style="57" customWidth="1"/>
    <col min="2389" max="2390" width="9.28515625" style="57"/>
    <col min="2391" max="2391" width="54.42578125" style="57" customWidth="1"/>
    <col min="2392" max="2393" width="9.28515625" style="57" bestFit="1" customWidth="1"/>
    <col min="2394" max="2394" width="11" style="57" bestFit="1" customWidth="1"/>
    <col min="2395" max="2395" width="9.28515625" style="57" bestFit="1" customWidth="1"/>
    <col min="2396" max="2396" width="9.28515625" style="57"/>
    <col min="2397" max="2397" width="47.28515625" style="57" customWidth="1"/>
    <col min="2398" max="2399" width="9.28515625" style="57" bestFit="1" customWidth="1"/>
    <col min="2400" max="2400" width="11" style="57" bestFit="1" customWidth="1"/>
    <col min="2401" max="2401" width="9.28515625" style="57"/>
    <col min="2402" max="2402" width="11" style="57" bestFit="1" customWidth="1"/>
    <col min="2403" max="2562" width="9.28515625" style="57"/>
    <col min="2563" max="2563" width="4.5703125" style="57" bestFit="1" customWidth="1"/>
    <col min="2564" max="2564" width="32.28515625" style="57" customWidth="1"/>
    <col min="2565" max="2571" width="12.5703125" style="57" customWidth="1"/>
    <col min="2572" max="2572" width="14.42578125" style="57" customWidth="1"/>
    <col min="2573" max="2573" width="12.5703125" style="57" customWidth="1"/>
    <col min="2574" max="2574" width="13.7109375" style="57" customWidth="1"/>
    <col min="2575" max="2577" width="10" style="57" customWidth="1"/>
    <col min="2578" max="2579" width="10.5703125" style="57" customWidth="1"/>
    <col min="2580" max="2581" width="11.7109375" style="57" customWidth="1"/>
    <col min="2582" max="2584" width="8.5703125" style="57" customWidth="1"/>
    <col min="2585" max="2585" width="9.42578125" style="57" customWidth="1"/>
    <col min="2586" max="2587" width="13.28515625" style="57" customWidth="1"/>
    <col min="2588" max="2589" width="0" style="57" hidden="1" customWidth="1"/>
    <col min="2590" max="2591" width="7.5703125" style="57" customWidth="1"/>
    <col min="2592" max="2592" width="8.7109375" style="57" customWidth="1"/>
    <col min="2593" max="2593" width="11.28515625" style="57" customWidth="1"/>
    <col min="2594" max="2594" width="11.7109375" style="57" customWidth="1"/>
    <col min="2595" max="2595" width="13.5703125" style="57" customWidth="1"/>
    <col min="2596" max="2596" width="10.5703125" style="57" customWidth="1"/>
    <col min="2597" max="2597" width="11.7109375" style="57" customWidth="1"/>
    <col min="2598" max="2598" width="11" style="57" customWidth="1"/>
    <col min="2599" max="2599" width="9.7109375" style="57" customWidth="1"/>
    <col min="2600" max="2601" width="0" style="57" hidden="1" customWidth="1"/>
    <col min="2602" max="2602" width="10.42578125" style="57" customWidth="1"/>
    <col min="2603" max="2638" width="6.5703125" style="57" customWidth="1"/>
    <col min="2639" max="2639" width="8.28515625" style="57" customWidth="1"/>
    <col min="2640" max="2643" width="8.42578125" style="57" customWidth="1"/>
    <col min="2644" max="2644" width="7.5703125" style="57" customWidth="1"/>
    <col min="2645" max="2646" width="9.28515625" style="57"/>
    <col min="2647" max="2647" width="54.42578125" style="57" customWidth="1"/>
    <col min="2648" max="2649" width="9.28515625" style="57" bestFit="1" customWidth="1"/>
    <col min="2650" max="2650" width="11" style="57" bestFit="1" customWidth="1"/>
    <col min="2651" max="2651" width="9.28515625" style="57" bestFit="1" customWidth="1"/>
    <col min="2652" max="2652" width="9.28515625" style="57"/>
    <col min="2653" max="2653" width="47.28515625" style="57" customWidth="1"/>
    <col min="2654" max="2655" width="9.28515625" style="57" bestFit="1" customWidth="1"/>
    <col min="2656" max="2656" width="11" style="57" bestFit="1" customWidth="1"/>
    <col min="2657" max="2657" width="9.28515625" style="57"/>
    <col min="2658" max="2658" width="11" style="57" bestFit="1" customWidth="1"/>
    <col min="2659" max="2818" width="9.28515625" style="57"/>
    <col min="2819" max="2819" width="4.5703125" style="57" bestFit="1" customWidth="1"/>
    <col min="2820" max="2820" width="32.28515625" style="57" customWidth="1"/>
    <col min="2821" max="2827" width="12.5703125" style="57" customWidth="1"/>
    <col min="2828" max="2828" width="14.42578125" style="57" customWidth="1"/>
    <col min="2829" max="2829" width="12.5703125" style="57" customWidth="1"/>
    <col min="2830" max="2830" width="13.7109375" style="57" customWidth="1"/>
    <col min="2831" max="2833" width="10" style="57" customWidth="1"/>
    <col min="2834" max="2835" width="10.5703125" style="57" customWidth="1"/>
    <col min="2836" max="2837" width="11.7109375" style="57" customWidth="1"/>
    <col min="2838" max="2840" width="8.5703125" style="57" customWidth="1"/>
    <col min="2841" max="2841" width="9.42578125" style="57" customWidth="1"/>
    <col min="2842" max="2843" width="13.28515625" style="57" customWidth="1"/>
    <col min="2844" max="2845" width="0" style="57" hidden="1" customWidth="1"/>
    <col min="2846" max="2847" width="7.5703125" style="57" customWidth="1"/>
    <col min="2848" max="2848" width="8.7109375" style="57" customWidth="1"/>
    <col min="2849" max="2849" width="11.28515625" style="57" customWidth="1"/>
    <col min="2850" max="2850" width="11.7109375" style="57" customWidth="1"/>
    <col min="2851" max="2851" width="13.5703125" style="57" customWidth="1"/>
    <col min="2852" max="2852" width="10.5703125" style="57" customWidth="1"/>
    <col min="2853" max="2853" width="11.7109375" style="57" customWidth="1"/>
    <col min="2854" max="2854" width="11" style="57" customWidth="1"/>
    <col min="2855" max="2855" width="9.7109375" style="57" customWidth="1"/>
    <col min="2856" max="2857" width="0" style="57" hidden="1" customWidth="1"/>
    <col min="2858" max="2858" width="10.42578125" style="57" customWidth="1"/>
    <col min="2859" max="2894" width="6.5703125" style="57" customWidth="1"/>
    <col min="2895" max="2895" width="8.28515625" style="57" customWidth="1"/>
    <col min="2896" max="2899" width="8.42578125" style="57" customWidth="1"/>
    <col min="2900" max="2900" width="7.5703125" style="57" customWidth="1"/>
    <col min="2901" max="2902" width="9.28515625" style="57"/>
    <col min="2903" max="2903" width="54.42578125" style="57" customWidth="1"/>
    <col min="2904" max="2905" width="9.28515625" style="57" bestFit="1" customWidth="1"/>
    <col min="2906" max="2906" width="11" style="57" bestFit="1" customWidth="1"/>
    <col min="2907" max="2907" width="9.28515625" style="57" bestFit="1" customWidth="1"/>
    <col min="2908" max="2908" width="9.28515625" style="57"/>
    <col min="2909" max="2909" width="47.28515625" style="57" customWidth="1"/>
    <col min="2910" max="2911" width="9.28515625" style="57" bestFit="1" customWidth="1"/>
    <col min="2912" max="2912" width="11" style="57" bestFit="1" customWidth="1"/>
    <col min="2913" max="2913" width="9.28515625" style="57"/>
    <col min="2914" max="2914" width="11" style="57" bestFit="1" customWidth="1"/>
    <col min="2915" max="3074" width="9.28515625" style="57"/>
    <col min="3075" max="3075" width="4.5703125" style="57" bestFit="1" customWidth="1"/>
    <col min="3076" max="3076" width="32.28515625" style="57" customWidth="1"/>
    <col min="3077" max="3083" width="12.5703125" style="57" customWidth="1"/>
    <col min="3084" max="3084" width="14.42578125" style="57" customWidth="1"/>
    <col min="3085" max="3085" width="12.5703125" style="57" customWidth="1"/>
    <col min="3086" max="3086" width="13.7109375" style="57" customWidth="1"/>
    <col min="3087" max="3089" width="10" style="57" customWidth="1"/>
    <col min="3090" max="3091" width="10.5703125" style="57" customWidth="1"/>
    <col min="3092" max="3093" width="11.7109375" style="57" customWidth="1"/>
    <col min="3094" max="3096" width="8.5703125" style="57" customWidth="1"/>
    <col min="3097" max="3097" width="9.42578125" style="57" customWidth="1"/>
    <col min="3098" max="3099" width="13.28515625" style="57" customWidth="1"/>
    <col min="3100" max="3101" width="0" style="57" hidden="1" customWidth="1"/>
    <col min="3102" max="3103" width="7.5703125" style="57" customWidth="1"/>
    <col min="3104" max="3104" width="8.7109375" style="57" customWidth="1"/>
    <col min="3105" max="3105" width="11.28515625" style="57" customWidth="1"/>
    <col min="3106" max="3106" width="11.7109375" style="57" customWidth="1"/>
    <col min="3107" max="3107" width="13.5703125" style="57" customWidth="1"/>
    <col min="3108" max="3108" width="10.5703125" style="57" customWidth="1"/>
    <col min="3109" max="3109" width="11.7109375" style="57" customWidth="1"/>
    <col min="3110" max="3110" width="11" style="57" customWidth="1"/>
    <col min="3111" max="3111" width="9.7109375" style="57" customWidth="1"/>
    <col min="3112" max="3113" width="0" style="57" hidden="1" customWidth="1"/>
    <col min="3114" max="3114" width="10.42578125" style="57" customWidth="1"/>
    <col min="3115" max="3150" width="6.5703125" style="57" customWidth="1"/>
    <col min="3151" max="3151" width="8.28515625" style="57" customWidth="1"/>
    <col min="3152" max="3155" width="8.42578125" style="57" customWidth="1"/>
    <col min="3156" max="3156" width="7.5703125" style="57" customWidth="1"/>
    <col min="3157" max="3158" width="9.28515625" style="57"/>
    <col min="3159" max="3159" width="54.42578125" style="57" customWidth="1"/>
    <col min="3160" max="3161" width="9.28515625" style="57" bestFit="1" customWidth="1"/>
    <col min="3162" max="3162" width="11" style="57" bestFit="1" customWidth="1"/>
    <col min="3163" max="3163" width="9.28515625" style="57" bestFit="1" customWidth="1"/>
    <col min="3164" max="3164" width="9.28515625" style="57"/>
    <col min="3165" max="3165" width="47.28515625" style="57" customWidth="1"/>
    <col min="3166" max="3167" width="9.28515625" style="57" bestFit="1" customWidth="1"/>
    <col min="3168" max="3168" width="11" style="57" bestFit="1" customWidth="1"/>
    <col min="3169" max="3169" width="9.28515625" style="57"/>
    <col min="3170" max="3170" width="11" style="57" bestFit="1" customWidth="1"/>
    <col min="3171" max="3330" width="9.28515625" style="57"/>
    <col min="3331" max="3331" width="4.5703125" style="57" bestFit="1" customWidth="1"/>
    <col min="3332" max="3332" width="32.28515625" style="57" customWidth="1"/>
    <col min="3333" max="3339" width="12.5703125" style="57" customWidth="1"/>
    <col min="3340" max="3340" width="14.42578125" style="57" customWidth="1"/>
    <col min="3341" max="3341" width="12.5703125" style="57" customWidth="1"/>
    <col min="3342" max="3342" width="13.7109375" style="57" customWidth="1"/>
    <col min="3343" max="3345" width="10" style="57" customWidth="1"/>
    <col min="3346" max="3347" width="10.5703125" style="57" customWidth="1"/>
    <col min="3348" max="3349" width="11.7109375" style="57" customWidth="1"/>
    <col min="3350" max="3352" width="8.5703125" style="57" customWidth="1"/>
    <col min="3353" max="3353" width="9.42578125" style="57" customWidth="1"/>
    <col min="3354" max="3355" width="13.28515625" style="57" customWidth="1"/>
    <col min="3356" max="3357" width="0" style="57" hidden="1" customWidth="1"/>
    <col min="3358" max="3359" width="7.5703125" style="57" customWidth="1"/>
    <col min="3360" max="3360" width="8.7109375" style="57" customWidth="1"/>
    <col min="3361" max="3361" width="11.28515625" style="57" customWidth="1"/>
    <col min="3362" max="3362" width="11.7109375" style="57" customWidth="1"/>
    <col min="3363" max="3363" width="13.5703125" style="57" customWidth="1"/>
    <col min="3364" max="3364" width="10.5703125" style="57" customWidth="1"/>
    <col min="3365" max="3365" width="11.7109375" style="57" customWidth="1"/>
    <col min="3366" max="3366" width="11" style="57" customWidth="1"/>
    <col min="3367" max="3367" width="9.7109375" style="57" customWidth="1"/>
    <col min="3368" max="3369" width="0" style="57" hidden="1" customWidth="1"/>
    <col min="3370" max="3370" width="10.42578125" style="57" customWidth="1"/>
    <col min="3371" max="3406" width="6.5703125" style="57" customWidth="1"/>
    <col min="3407" max="3407" width="8.28515625" style="57" customWidth="1"/>
    <col min="3408" max="3411" width="8.42578125" style="57" customWidth="1"/>
    <col min="3412" max="3412" width="7.5703125" style="57" customWidth="1"/>
    <col min="3413" max="3414" width="9.28515625" style="57"/>
    <col min="3415" max="3415" width="54.42578125" style="57" customWidth="1"/>
    <col min="3416" max="3417" width="9.28515625" style="57" bestFit="1" customWidth="1"/>
    <col min="3418" max="3418" width="11" style="57" bestFit="1" customWidth="1"/>
    <col min="3419" max="3419" width="9.28515625" style="57" bestFit="1" customWidth="1"/>
    <col min="3420" max="3420" width="9.28515625" style="57"/>
    <col min="3421" max="3421" width="47.28515625" style="57" customWidth="1"/>
    <col min="3422" max="3423" width="9.28515625" style="57" bestFit="1" customWidth="1"/>
    <col min="3424" max="3424" width="11" style="57" bestFit="1" customWidth="1"/>
    <col min="3425" max="3425" width="9.28515625" style="57"/>
    <col min="3426" max="3426" width="11" style="57" bestFit="1" customWidth="1"/>
    <col min="3427" max="3586" width="9.28515625" style="57"/>
    <col min="3587" max="3587" width="4.5703125" style="57" bestFit="1" customWidth="1"/>
    <col min="3588" max="3588" width="32.28515625" style="57" customWidth="1"/>
    <col min="3589" max="3595" width="12.5703125" style="57" customWidth="1"/>
    <col min="3596" max="3596" width="14.42578125" style="57" customWidth="1"/>
    <col min="3597" max="3597" width="12.5703125" style="57" customWidth="1"/>
    <col min="3598" max="3598" width="13.7109375" style="57" customWidth="1"/>
    <col min="3599" max="3601" width="10" style="57" customWidth="1"/>
    <col min="3602" max="3603" width="10.5703125" style="57" customWidth="1"/>
    <col min="3604" max="3605" width="11.7109375" style="57" customWidth="1"/>
    <col min="3606" max="3608" width="8.5703125" style="57" customWidth="1"/>
    <col min="3609" max="3609" width="9.42578125" style="57" customWidth="1"/>
    <col min="3610" max="3611" width="13.28515625" style="57" customWidth="1"/>
    <col min="3612" max="3613" width="0" style="57" hidden="1" customWidth="1"/>
    <col min="3614" max="3615" width="7.5703125" style="57" customWidth="1"/>
    <col min="3616" max="3616" width="8.7109375" style="57" customWidth="1"/>
    <col min="3617" max="3617" width="11.28515625" style="57" customWidth="1"/>
    <col min="3618" max="3618" width="11.7109375" style="57" customWidth="1"/>
    <col min="3619" max="3619" width="13.5703125" style="57" customWidth="1"/>
    <col min="3620" max="3620" width="10.5703125" style="57" customWidth="1"/>
    <col min="3621" max="3621" width="11.7109375" style="57" customWidth="1"/>
    <col min="3622" max="3622" width="11" style="57" customWidth="1"/>
    <col min="3623" max="3623" width="9.7109375" style="57" customWidth="1"/>
    <col min="3624" max="3625" width="0" style="57" hidden="1" customWidth="1"/>
    <col min="3626" max="3626" width="10.42578125" style="57" customWidth="1"/>
    <col min="3627" max="3662" width="6.5703125" style="57" customWidth="1"/>
    <col min="3663" max="3663" width="8.28515625" style="57" customWidth="1"/>
    <col min="3664" max="3667" width="8.42578125" style="57" customWidth="1"/>
    <col min="3668" max="3668" width="7.5703125" style="57" customWidth="1"/>
    <col min="3669" max="3670" width="9.28515625" style="57"/>
    <col min="3671" max="3671" width="54.42578125" style="57" customWidth="1"/>
    <col min="3672" max="3673" width="9.28515625" style="57" bestFit="1" customWidth="1"/>
    <col min="3674" max="3674" width="11" style="57" bestFit="1" customWidth="1"/>
    <col min="3675" max="3675" width="9.28515625" style="57" bestFit="1" customWidth="1"/>
    <col min="3676" max="3676" width="9.28515625" style="57"/>
    <col min="3677" max="3677" width="47.28515625" style="57" customWidth="1"/>
    <col min="3678" max="3679" width="9.28515625" style="57" bestFit="1" customWidth="1"/>
    <col min="3680" max="3680" width="11" style="57" bestFit="1" customWidth="1"/>
    <col min="3681" max="3681" width="9.28515625" style="57"/>
    <col min="3682" max="3682" width="11" style="57" bestFit="1" customWidth="1"/>
    <col min="3683" max="3842" width="9.28515625" style="57"/>
    <col min="3843" max="3843" width="4.5703125" style="57" bestFit="1" customWidth="1"/>
    <col min="3844" max="3844" width="32.28515625" style="57" customWidth="1"/>
    <col min="3845" max="3851" width="12.5703125" style="57" customWidth="1"/>
    <col min="3852" max="3852" width="14.42578125" style="57" customWidth="1"/>
    <col min="3853" max="3853" width="12.5703125" style="57" customWidth="1"/>
    <col min="3854" max="3854" width="13.7109375" style="57" customWidth="1"/>
    <col min="3855" max="3857" width="10" style="57" customWidth="1"/>
    <col min="3858" max="3859" width="10.5703125" style="57" customWidth="1"/>
    <col min="3860" max="3861" width="11.7109375" style="57" customWidth="1"/>
    <col min="3862" max="3864" width="8.5703125" style="57" customWidth="1"/>
    <col min="3865" max="3865" width="9.42578125" style="57" customWidth="1"/>
    <col min="3866" max="3867" width="13.28515625" style="57" customWidth="1"/>
    <col min="3868" max="3869" width="0" style="57" hidden="1" customWidth="1"/>
    <col min="3870" max="3871" width="7.5703125" style="57" customWidth="1"/>
    <col min="3872" max="3872" width="8.7109375" style="57" customWidth="1"/>
    <col min="3873" max="3873" width="11.28515625" style="57" customWidth="1"/>
    <col min="3874" max="3874" width="11.7109375" style="57" customWidth="1"/>
    <col min="3875" max="3875" width="13.5703125" style="57" customWidth="1"/>
    <col min="3876" max="3876" width="10.5703125" style="57" customWidth="1"/>
    <col min="3877" max="3877" width="11.7109375" style="57" customWidth="1"/>
    <col min="3878" max="3878" width="11" style="57" customWidth="1"/>
    <col min="3879" max="3879" width="9.7109375" style="57" customWidth="1"/>
    <col min="3880" max="3881" width="0" style="57" hidden="1" customWidth="1"/>
    <col min="3882" max="3882" width="10.42578125" style="57" customWidth="1"/>
    <col min="3883" max="3918" width="6.5703125" style="57" customWidth="1"/>
    <col min="3919" max="3919" width="8.28515625" style="57" customWidth="1"/>
    <col min="3920" max="3923" width="8.42578125" style="57" customWidth="1"/>
    <col min="3924" max="3924" width="7.5703125" style="57" customWidth="1"/>
    <col min="3925" max="3926" width="9.28515625" style="57"/>
    <col min="3927" max="3927" width="54.42578125" style="57" customWidth="1"/>
    <col min="3928" max="3929" width="9.28515625" style="57" bestFit="1" customWidth="1"/>
    <col min="3930" max="3930" width="11" style="57" bestFit="1" customWidth="1"/>
    <col min="3931" max="3931" width="9.28515625" style="57" bestFit="1" customWidth="1"/>
    <col min="3932" max="3932" width="9.28515625" style="57"/>
    <col min="3933" max="3933" width="47.28515625" style="57" customWidth="1"/>
    <col min="3934" max="3935" width="9.28515625" style="57" bestFit="1" customWidth="1"/>
    <col min="3936" max="3936" width="11" style="57" bestFit="1" customWidth="1"/>
    <col min="3937" max="3937" width="9.28515625" style="57"/>
    <col min="3938" max="3938" width="11" style="57" bestFit="1" customWidth="1"/>
    <col min="3939" max="4098" width="9.28515625" style="57"/>
    <col min="4099" max="4099" width="4.5703125" style="57" bestFit="1" customWidth="1"/>
    <col min="4100" max="4100" width="32.28515625" style="57" customWidth="1"/>
    <col min="4101" max="4107" width="12.5703125" style="57" customWidth="1"/>
    <col min="4108" max="4108" width="14.42578125" style="57" customWidth="1"/>
    <col min="4109" max="4109" width="12.5703125" style="57" customWidth="1"/>
    <col min="4110" max="4110" width="13.7109375" style="57" customWidth="1"/>
    <col min="4111" max="4113" width="10" style="57" customWidth="1"/>
    <col min="4114" max="4115" width="10.5703125" style="57" customWidth="1"/>
    <col min="4116" max="4117" width="11.7109375" style="57" customWidth="1"/>
    <col min="4118" max="4120" width="8.5703125" style="57" customWidth="1"/>
    <col min="4121" max="4121" width="9.42578125" style="57" customWidth="1"/>
    <col min="4122" max="4123" width="13.28515625" style="57" customWidth="1"/>
    <col min="4124" max="4125" width="0" style="57" hidden="1" customWidth="1"/>
    <col min="4126" max="4127" width="7.5703125" style="57" customWidth="1"/>
    <col min="4128" max="4128" width="8.7109375" style="57" customWidth="1"/>
    <col min="4129" max="4129" width="11.28515625" style="57" customWidth="1"/>
    <col min="4130" max="4130" width="11.7109375" style="57" customWidth="1"/>
    <col min="4131" max="4131" width="13.5703125" style="57" customWidth="1"/>
    <col min="4132" max="4132" width="10.5703125" style="57" customWidth="1"/>
    <col min="4133" max="4133" width="11.7109375" style="57" customWidth="1"/>
    <col min="4134" max="4134" width="11" style="57" customWidth="1"/>
    <col min="4135" max="4135" width="9.7109375" style="57" customWidth="1"/>
    <col min="4136" max="4137" width="0" style="57" hidden="1" customWidth="1"/>
    <col min="4138" max="4138" width="10.42578125" style="57" customWidth="1"/>
    <col min="4139" max="4174" width="6.5703125" style="57" customWidth="1"/>
    <col min="4175" max="4175" width="8.28515625" style="57" customWidth="1"/>
    <col min="4176" max="4179" width="8.42578125" style="57" customWidth="1"/>
    <col min="4180" max="4180" width="7.5703125" style="57" customWidth="1"/>
    <col min="4181" max="4182" width="9.28515625" style="57"/>
    <col min="4183" max="4183" width="54.42578125" style="57" customWidth="1"/>
    <col min="4184" max="4185" width="9.28515625" style="57" bestFit="1" customWidth="1"/>
    <col min="4186" max="4186" width="11" style="57" bestFit="1" customWidth="1"/>
    <col min="4187" max="4187" width="9.28515625" style="57" bestFit="1" customWidth="1"/>
    <col min="4188" max="4188" width="9.28515625" style="57"/>
    <col min="4189" max="4189" width="47.28515625" style="57" customWidth="1"/>
    <col min="4190" max="4191" width="9.28515625" style="57" bestFit="1" customWidth="1"/>
    <col min="4192" max="4192" width="11" style="57" bestFit="1" customWidth="1"/>
    <col min="4193" max="4193" width="9.28515625" style="57"/>
    <col min="4194" max="4194" width="11" style="57" bestFit="1" customWidth="1"/>
    <col min="4195" max="4354" width="9.28515625" style="57"/>
    <col min="4355" max="4355" width="4.5703125" style="57" bestFit="1" customWidth="1"/>
    <col min="4356" max="4356" width="32.28515625" style="57" customWidth="1"/>
    <col min="4357" max="4363" width="12.5703125" style="57" customWidth="1"/>
    <col min="4364" max="4364" width="14.42578125" style="57" customWidth="1"/>
    <col min="4365" max="4365" width="12.5703125" style="57" customWidth="1"/>
    <col min="4366" max="4366" width="13.7109375" style="57" customWidth="1"/>
    <col min="4367" max="4369" width="10" style="57" customWidth="1"/>
    <col min="4370" max="4371" width="10.5703125" style="57" customWidth="1"/>
    <col min="4372" max="4373" width="11.7109375" style="57" customWidth="1"/>
    <col min="4374" max="4376" width="8.5703125" style="57" customWidth="1"/>
    <col min="4377" max="4377" width="9.42578125" style="57" customWidth="1"/>
    <col min="4378" max="4379" width="13.28515625" style="57" customWidth="1"/>
    <col min="4380" max="4381" width="0" style="57" hidden="1" customWidth="1"/>
    <col min="4382" max="4383" width="7.5703125" style="57" customWidth="1"/>
    <col min="4384" max="4384" width="8.7109375" style="57" customWidth="1"/>
    <col min="4385" max="4385" width="11.28515625" style="57" customWidth="1"/>
    <col min="4386" max="4386" width="11.7109375" style="57" customWidth="1"/>
    <col min="4387" max="4387" width="13.5703125" style="57" customWidth="1"/>
    <col min="4388" max="4388" width="10.5703125" style="57" customWidth="1"/>
    <col min="4389" max="4389" width="11.7109375" style="57" customWidth="1"/>
    <col min="4390" max="4390" width="11" style="57" customWidth="1"/>
    <col min="4391" max="4391" width="9.7109375" style="57" customWidth="1"/>
    <col min="4392" max="4393" width="0" style="57" hidden="1" customWidth="1"/>
    <col min="4394" max="4394" width="10.42578125" style="57" customWidth="1"/>
    <col min="4395" max="4430" width="6.5703125" style="57" customWidth="1"/>
    <col min="4431" max="4431" width="8.28515625" style="57" customWidth="1"/>
    <col min="4432" max="4435" width="8.42578125" style="57" customWidth="1"/>
    <col min="4436" max="4436" width="7.5703125" style="57" customWidth="1"/>
    <col min="4437" max="4438" width="9.28515625" style="57"/>
    <col min="4439" max="4439" width="54.42578125" style="57" customWidth="1"/>
    <col min="4440" max="4441" width="9.28515625" style="57" bestFit="1" customWidth="1"/>
    <col min="4442" max="4442" width="11" style="57" bestFit="1" customWidth="1"/>
    <col min="4443" max="4443" width="9.28515625" style="57" bestFit="1" customWidth="1"/>
    <col min="4444" max="4444" width="9.28515625" style="57"/>
    <col min="4445" max="4445" width="47.28515625" style="57" customWidth="1"/>
    <col min="4446" max="4447" width="9.28515625" style="57" bestFit="1" customWidth="1"/>
    <col min="4448" max="4448" width="11" style="57" bestFit="1" customWidth="1"/>
    <col min="4449" max="4449" width="9.28515625" style="57"/>
    <col min="4450" max="4450" width="11" style="57" bestFit="1" customWidth="1"/>
    <col min="4451" max="4610" width="9.28515625" style="57"/>
    <col min="4611" max="4611" width="4.5703125" style="57" bestFit="1" customWidth="1"/>
    <col min="4612" max="4612" width="32.28515625" style="57" customWidth="1"/>
    <col min="4613" max="4619" width="12.5703125" style="57" customWidth="1"/>
    <col min="4620" max="4620" width="14.42578125" style="57" customWidth="1"/>
    <col min="4621" max="4621" width="12.5703125" style="57" customWidth="1"/>
    <col min="4622" max="4622" width="13.7109375" style="57" customWidth="1"/>
    <col min="4623" max="4625" width="10" style="57" customWidth="1"/>
    <col min="4626" max="4627" width="10.5703125" style="57" customWidth="1"/>
    <col min="4628" max="4629" width="11.7109375" style="57" customWidth="1"/>
    <col min="4630" max="4632" width="8.5703125" style="57" customWidth="1"/>
    <col min="4633" max="4633" width="9.42578125" style="57" customWidth="1"/>
    <col min="4634" max="4635" width="13.28515625" style="57" customWidth="1"/>
    <col min="4636" max="4637" width="0" style="57" hidden="1" customWidth="1"/>
    <col min="4638" max="4639" width="7.5703125" style="57" customWidth="1"/>
    <col min="4640" max="4640" width="8.7109375" style="57" customWidth="1"/>
    <col min="4641" max="4641" width="11.28515625" style="57" customWidth="1"/>
    <col min="4642" max="4642" width="11.7109375" style="57" customWidth="1"/>
    <col min="4643" max="4643" width="13.5703125" style="57" customWidth="1"/>
    <col min="4644" max="4644" width="10.5703125" style="57" customWidth="1"/>
    <col min="4645" max="4645" width="11.7109375" style="57" customWidth="1"/>
    <col min="4646" max="4646" width="11" style="57" customWidth="1"/>
    <col min="4647" max="4647" width="9.7109375" style="57" customWidth="1"/>
    <col min="4648" max="4649" width="0" style="57" hidden="1" customWidth="1"/>
    <col min="4650" max="4650" width="10.42578125" style="57" customWidth="1"/>
    <col min="4651" max="4686" width="6.5703125" style="57" customWidth="1"/>
    <col min="4687" max="4687" width="8.28515625" style="57" customWidth="1"/>
    <col min="4688" max="4691" width="8.42578125" style="57" customWidth="1"/>
    <col min="4692" max="4692" width="7.5703125" style="57" customWidth="1"/>
    <col min="4693" max="4694" width="9.28515625" style="57"/>
    <col min="4695" max="4695" width="54.42578125" style="57" customWidth="1"/>
    <col min="4696" max="4697" width="9.28515625" style="57" bestFit="1" customWidth="1"/>
    <col min="4698" max="4698" width="11" style="57" bestFit="1" customWidth="1"/>
    <col min="4699" max="4699" width="9.28515625" style="57" bestFit="1" customWidth="1"/>
    <col min="4700" max="4700" width="9.28515625" style="57"/>
    <col min="4701" max="4701" width="47.28515625" style="57" customWidth="1"/>
    <col min="4702" max="4703" width="9.28515625" style="57" bestFit="1" customWidth="1"/>
    <col min="4704" max="4704" width="11" style="57" bestFit="1" customWidth="1"/>
    <col min="4705" max="4705" width="9.28515625" style="57"/>
    <col min="4706" max="4706" width="11" style="57" bestFit="1" customWidth="1"/>
    <col min="4707" max="4866" width="9.28515625" style="57"/>
    <col min="4867" max="4867" width="4.5703125" style="57" bestFit="1" customWidth="1"/>
    <col min="4868" max="4868" width="32.28515625" style="57" customWidth="1"/>
    <col min="4869" max="4875" width="12.5703125" style="57" customWidth="1"/>
    <col min="4876" max="4876" width="14.42578125" style="57" customWidth="1"/>
    <col min="4877" max="4877" width="12.5703125" style="57" customWidth="1"/>
    <col min="4878" max="4878" width="13.7109375" style="57" customWidth="1"/>
    <col min="4879" max="4881" width="10" style="57" customWidth="1"/>
    <col min="4882" max="4883" width="10.5703125" style="57" customWidth="1"/>
    <col min="4884" max="4885" width="11.7109375" style="57" customWidth="1"/>
    <col min="4886" max="4888" width="8.5703125" style="57" customWidth="1"/>
    <col min="4889" max="4889" width="9.42578125" style="57" customWidth="1"/>
    <col min="4890" max="4891" width="13.28515625" style="57" customWidth="1"/>
    <col min="4892" max="4893" width="0" style="57" hidden="1" customWidth="1"/>
    <col min="4894" max="4895" width="7.5703125" style="57" customWidth="1"/>
    <col min="4896" max="4896" width="8.7109375" style="57" customWidth="1"/>
    <col min="4897" max="4897" width="11.28515625" style="57" customWidth="1"/>
    <col min="4898" max="4898" width="11.7109375" style="57" customWidth="1"/>
    <col min="4899" max="4899" width="13.5703125" style="57" customWidth="1"/>
    <col min="4900" max="4900" width="10.5703125" style="57" customWidth="1"/>
    <col min="4901" max="4901" width="11.7109375" style="57" customWidth="1"/>
    <col min="4902" max="4902" width="11" style="57" customWidth="1"/>
    <col min="4903" max="4903" width="9.7109375" style="57" customWidth="1"/>
    <col min="4904" max="4905" width="0" style="57" hidden="1" customWidth="1"/>
    <col min="4906" max="4906" width="10.42578125" style="57" customWidth="1"/>
    <col min="4907" max="4942" width="6.5703125" style="57" customWidth="1"/>
    <col min="4943" max="4943" width="8.28515625" style="57" customWidth="1"/>
    <col min="4944" max="4947" width="8.42578125" style="57" customWidth="1"/>
    <col min="4948" max="4948" width="7.5703125" style="57" customWidth="1"/>
    <col min="4949" max="4950" width="9.28515625" style="57"/>
    <col min="4951" max="4951" width="54.42578125" style="57" customWidth="1"/>
    <col min="4952" max="4953" width="9.28515625" style="57" bestFit="1" customWidth="1"/>
    <col min="4954" max="4954" width="11" style="57" bestFit="1" customWidth="1"/>
    <col min="4955" max="4955" width="9.28515625" style="57" bestFit="1" customWidth="1"/>
    <col min="4956" max="4956" width="9.28515625" style="57"/>
    <col min="4957" max="4957" width="47.28515625" style="57" customWidth="1"/>
    <col min="4958" max="4959" width="9.28515625" style="57" bestFit="1" customWidth="1"/>
    <col min="4960" max="4960" width="11" style="57" bestFit="1" customWidth="1"/>
    <col min="4961" max="4961" width="9.28515625" style="57"/>
    <col min="4962" max="4962" width="11" style="57" bestFit="1" customWidth="1"/>
    <col min="4963" max="5122" width="9.28515625" style="57"/>
    <col min="5123" max="5123" width="4.5703125" style="57" bestFit="1" customWidth="1"/>
    <col min="5124" max="5124" width="32.28515625" style="57" customWidth="1"/>
    <col min="5125" max="5131" width="12.5703125" style="57" customWidth="1"/>
    <col min="5132" max="5132" width="14.42578125" style="57" customWidth="1"/>
    <col min="5133" max="5133" width="12.5703125" style="57" customWidth="1"/>
    <col min="5134" max="5134" width="13.7109375" style="57" customWidth="1"/>
    <col min="5135" max="5137" width="10" style="57" customWidth="1"/>
    <col min="5138" max="5139" width="10.5703125" style="57" customWidth="1"/>
    <col min="5140" max="5141" width="11.7109375" style="57" customWidth="1"/>
    <col min="5142" max="5144" width="8.5703125" style="57" customWidth="1"/>
    <col min="5145" max="5145" width="9.42578125" style="57" customWidth="1"/>
    <col min="5146" max="5147" width="13.28515625" style="57" customWidth="1"/>
    <col min="5148" max="5149" width="0" style="57" hidden="1" customWidth="1"/>
    <col min="5150" max="5151" width="7.5703125" style="57" customWidth="1"/>
    <col min="5152" max="5152" width="8.7109375" style="57" customWidth="1"/>
    <col min="5153" max="5153" width="11.28515625" style="57" customWidth="1"/>
    <col min="5154" max="5154" width="11.7109375" style="57" customWidth="1"/>
    <col min="5155" max="5155" width="13.5703125" style="57" customWidth="1"/>
    <col min="5156" max="5156" width="10.5703125" style="57" customWidth="1"/>
    <col min="5157" max="5157" width="11.7109375" style="57" customWidth="1"/>
    <col min="5158" max="5158" width="11" style="57" customWidth="1"/>
    <col min="5159" max="5159" width="9.7109375" style="57" customWidth="1"/>
    <col min="5160" max="5161" width="0" style="57" hidden="1" customWidth="1"/>
    <col min="5162" max="5162" width="10.42578125" style="57" customWidth="1"/>
    <col min="5163" max="5198" width="6.5703125" style="57" customWidth="1"/>
    <col min="5199" max="5199" width="8.28515625" style="57" customWidth="1"/>
    <col min="5200" max="5203" width="8.42578125" style="57" customWidth="1"/>
    <col min="5204" max="5204" width="7.5703125" style="57" customWidth="1"/>
    <col min="5205" max="5206" width="9.28515625" style="57"/>
    <col min="5207" max="5207" width="54.42578125" style="57" customWidth="1"/>
    <col min="5208" max="5209" width="9.28515625" style="57" bestFit="1" customWidth="1"/>
    <col min="5210" max="5210" width="11" style="57" bestFit="1" customWidth="1"/>
    <col min="5211" max="5211" width="9.28515625" style="57" bestFit="1" customWidth="1"/>
    <col min="5212" max="5212" width="9.28515625" style="57"/>
    <col min="5213" max="5213" width="47.28515625" style="57" customWidth="1"/>
    <col min="5214" max="5215" width="9.28515625" style="57" bestFit="1" customWidth="1"/>
    <col min="5216" max="5216" width="11" style="57" bestFit="1" customWidth="1"/>
    <col min="5217" max="5217" width="9.28515625" style="57"/>
    <col min="5218" max="5218" width="11" style="57" bestFit="1" customWidth="1"/>
    <col min="5219" max="5378" width="9.28515625" style="57"/>
    <col min="5379" max="5379" width="4.5703125" style="57" bestFit="1" customWidth="1"/>
    <col min="5380" max="5380" width="32.28515625" style="57" customWidth="1"/>
    <col min="5381" max="5387" width="12.5703125" style="57" customWidth="1"/>
    <col min="5388" max="5388" width="14.42578125" style="57" customWidth="1"/>
    <col min="5389" max="5389" width="12.5703125" style="57" customWidth="1"/>
    <col min="5390" max="5390" width="13.7109375" style="57" customWidth="1"/>
    <col min="5391" max="5393" width="10" style="57" customWidth="1"/>
    <col min="5394" max="5395" width="10.5703125" style="57" customWidth="1"/>
    <col min="5396" max="5397" width="11.7109375" style="57" customWidth="1"/>
    <col min="5398" max="5400" width="8.5703125" style="57" customWidth="1"/>
    <col min="5401" max="5401" width="9.42578125" style="57" customWidth="1"/>
    <col min="5402" max="5403" width="13.28515625" style="57" customWidth="1"/>
    <col min="5404" max="5405" width="0" style="57" hidden="1" customWidth="1"/>
    <col min="5406" max="5407" width="7.5703125" style="57" customWidth="1"/>
    <col min="5408" max="5408" width="8.7109375" style="57" customWidth="1"/>
    <col min="5409" max="5409" width="11.28515625" style="57" customWidth="1"/>
    <col min="5410" max="5410" width="11.7109375" style="57" customWidth="1"/>
    <col min="5411" max="5411" width="13.5703125" style="57" customWidth="1"/>
    <col min="5412" max="5412" width="10.5703125" style="57" customWidth="1"/>
    <col min="5413" max="5413" width="11.7109375" style="57" customWidth="1"/>
    <col min="5414" max="5414" width="11" style="57" customWidth="1"/>
    <col min="5415" max="5415" width="9.7109375" style="57" customWidth="1"/>
    <col min="5416" max="5417" width="0" style="57" hidden="1" customWidth="1"/>
    <col min="5418" max="5418" width="10.42578125" style="57" customWidth="1"/>
    <col min="5419" max="5454" width="6.5703125" style="57" customWidth="1"/>
    <col min="5455" max="5455" width="8.28515625" style="57" customWidth="1"/>
    <col min="5456" max="5459" width="8.42578125" style="57" customWidth="1"/>
    <col min="5460" max="5460" width="7.5703125" style="57" customWidth="1"/>
    <col min="5461" max="5462" width="9.28515625" style="57"/>
    <col min="5463" max="5463" width="54.42578125" style="57" customWidth="1"/>
    <col min="5464" max="5465" width="9.28515625" style="57" bestFit="1" customWidth="1"/>
    <col min="5466" max="5466" width="11" style="57" bestFit="1" customWidth="1"/>
    <col min="5467" max="5467" width="9.28515625" style="57" bestFit="1" customWidth="1"/>
    <col min="5468" max="5468" width="9.28515625" style="57"/>
    <col min="5469" max="5469" width="47.28515625" style="57" customWidth="1"/>
    <col min="5470" max="5471" width="9.28515625" style="57" bestFit="1" customWidth="1"/>
    <col min="5472" max="5472" width="11" style="57" bestFit="1" customWidth="1"/>
    <col min="5473" max="5473" width="9.28515625" style="57"/>
    <col min="5474" max="5474" width="11" style="57" bestFit="1" customWidth="1"/>
    <col min="5475" max="5634" width="9.28515625" style="57"/>
    <col min="5635" max="5635" width="4.5703125" style="57" bestFit="1" customWidth="1"/>
    <col min="5636" max="5636" width="32.28515625" style="57" customWidth="1"/>
    <col min="5637" max="5643" width="12.5703125" style="57" customWidth="1"/>
    <col min="5644" max="5644" width="14.42578125" style="57" customWidth="1"/>
    <col min="5645" max="5645" width="12.5703125" style="57" customWidth="1"/>
    <col min="5646" max="5646" width="13.7109375" style="57" customWidth="1"/>
    <col min="5647" max="5649" width="10" style="57" customWidth="1"/>
    <col min="5650" max="5651" width="10.5703125" style="57" customWidth="1"/>
    <col min="5652" max="5653" width="11.7109375" style="57" customWidth="1"/>
    <col min="5654" max="5656" width="8.5703125" style="57" customWidth="1"/>
    <col min="5657" max="5657" width="9.42578125" style="57" customWidth="1"/>
    <col min="5658" max="5659" width="13.28515625" style="57" customWidth="1"/>
    <col min="5660" max="5661" width="0" style="57" hidden="1" customWidth="1"/>
    <col min="5662" max="5663" width="7.5703125" style="57" customWidth="1"/>
    <col min="5664" max="5664" width="8.7109375" style="57" customWidth="1"/>
    <col min="5665" max="5665" width="11.28515625" style="57" customWidth="1"/>
    <col min="5666" max="5666" width="11.7109375" style="57" customWidth="1"/>
    <col min="5667" max="5667" width="13.5703125" style="57" customWidth="1"/>
    <col min="5668" max="5668" width="10.5703125" style="57" customWidth="1"/>
    <col min="5669" max="5669" width="11.7109375" style="57" customWidth="1"/>
    <col min="5670" max="5670" width="11" style="57" customWidth="1"/>
    <col min="5671" max="5671" width="9.7109375" style="57" customWidth="1"/>
    <col min="5672" max="5673" width="0" style="57" hidden="1" customWidth="1"/>
    <col min="5674" max="5674" width="10.42578125" style="57" customWidth="1"/>
    <col min="5675" max="5710" width="6.5703125" style="57" customWidth="1"/>
    <col min="5711" max="5711" width="8.28515625" style="57" customWidth="1"/>
    <col min="5712" max="5715" width="8.42578125" style="57" customWidth="1"/>
    <col min="5716" max="5716" width="7.5703125" style="57" customWidth="1"/>
    <col min="5717" max="5718" width="9.28515625" style="57"/>
    <col min="5719" max="5719" width="54.42578125" style="57" customWidth="1"/>
    <col min="5720" max="5721" width="9.28515625" style="57" bestFit="1" customWidth="1"/>
    <col min="5722" max="5722" width="11" style="57" bestFit="1" customWidth="1"/>
    <col min="5723" max="5723" width="9.28515625" style="57" bestFit="1" customWidth="1"/>
    <col min="5724" max="5724" width="9.28515625" style="57"/>
    <col min="5725" max="5725" width="47.28515625" style="57" customWidth="1"/>
    <col min="5726" max="5727" width="9.28515625" style="57" bestFit="1" customWidth="1"/>
    <col min="5728" max="5728" width="11" style="57" bestFit="1" customWidth="1"/>
    <col min="5729" max="5729" width="9.28515625" style="57"/>
    <col min="5730" max="5730" width="11" style="57" bestFit="1" customWidth="1"/>
    <col min="5731" max="5890" width="9.28515625" style="57"/>
    <col min="5891" max="5891" width="4.5703125" style="57" bestFit="1" customWidth="1"/>
    <col min="5892" max="5892" width="32.28515625" style="57" customWidth="1"/>
    <col min="5893" max="5899" width="12.5703125" style="57" customWidth="1"/>
    <col min="5900" max="5900" width="14.42578125" style="57" customWidth="1"/>
    <col min="5901" max="5901" width="12.5703125" style="57" customWidth="1"/>
    <col min="5902" max="5902" width="13.7109375" style="57" customWidth="1"/>
    <col min="5903" max="5905" width="10" style="57" customWidth="1"/>
    <col min="5906" max="5907" width="10.5703125" style="57" customWidth="1"/>
    <col min="5908" max="5909" width="11.7109375" style="57" customWidth="1"/>
    <col min="5910" max="5912" width="8.5703125" style="57" customWidth="1"/>
    <col min="5913" max="5913" width="9.42578125" style="57" customWidth="1"/>
    <col min="5914" max="5915" width="13.28515625" style="57" customWidth="1"/>
    <col min="5916" max="5917" width="0" style="57" hidden="1" customWidth="1"/>
    <col min="5918" max="5919" width="7.5703125" style="57" customWidth="1"/>
    <col min="5920" max="5920" width="8.7109375" style="57" customWidth="1"/>
    <col min="5921" max="5921" width="11.28515625" style="57" customWidth="1"/>
    <col min="5922" max="5922" width="11.7109375" style="57" customWidth="1"/>
    <col min="5923" max="5923" width="13.5703125" style="57" customWidth="1"/>
    <col min="5924" max="5924" width="10.5703125" style="57" customWidth="1"/>
    <col min="5925" max="5925" width="11.7109375" style="57" customWidth="1"/>
    <col min="5926" max="5926" width="11" style="57" customWidth="1"/>
    <col min="5927" max="5927" width="9.7109375" style="57" customWidth="1"/>
    <col min="5928" max="5929" width="0" style="57" hidden="1" customWidth="1"/>
    <col min="5930" max="5930" width="10.42578125" style="57" customWidth="1"/>
    <col min="5931" max="5966" width="6.5703125" style="57" customWidth="1"/>
    <col min="5967" max="5967" width="8.28515625" style="57" customWidth="1"/>
    <col min="5968" max="5971" width="8.42578125" style="57" customWidth="1"/>
    <col min="5972" max="5972" width="7.5703125" style="57" customWidth="1"/>
    <col min="5973" max="5974" width="9.28515625" style="57"/>
    <col min="5975" max="5975" width="54.42578125" style="57" customWidth="1"/>
    <col min="5976" max="5977" width="9.28515625" style="57" bestFit="1" customWidth="1"/>
    <col min="5978" max="5978" width="11" style="57" bestFit="1" customWidth="1"/>
    <col min="5979" max="5979" width="9.28515625" style="57" bestFit="1" customWidth="1"/>
    <col min="5980" max="5980" width="9.28515625" style="57"/>
    <col min="5981" max="5981" width="47.28515625" style="57" customWidth="1"/>
    <col min="5982" max="5983" width="9.28515625" style="57" bestFit="1" customWidth="1"/>
    <col min="5984" max="5984" width="11" style="57" bestFit="1" customWidth="1"/>
    <col min="5985" max="5985" width="9.28515625" style="57"/>
    <col min="5986" max="5986" width="11" style="57" bestFit="1" customWidth="1"/>
    <col min="5987" max="6146" width="9.28515625" style="57"/>
    <col min="6147" max="6147" width="4.5703125" style="57" bestFit="1" customWidth="1"/>
    <col min="6148" max="6148" width="32.28515625" style="57" customWidth="1"/>
    <col min="6149" max="6155" width="12.5703125" style="57" customWidth="1"/>
    <col min="6156" max="6156" width="14.42578125" style="57" customWidth="1"/>
    <col min="6157" max="6157" width="12.5703125" style="57" customWidth="1"/>
    <col min="6158" max="6158" width="13.7109375" style="57" customWidth="1"/>
    <col min="6159" max="6161" width="10" style="57" customWidth="1"/>
    <col min="6162" max="6163" width="10.5703125" style="57" customWidth="1"/>
    <col min="6164" max="6165" width="11.7109375" style="57" customWidth="1"/>
    <col min="6166" max="6168" width="8.5703125" style="57" customWidth="1"/>
    <col min="6169" max="6169" width="9.42578125" style="57" customWidth="1"/>
    <col min="6170" max="6171" width="13.28515625" style="57" customWidth="1"/>
    <col min="6172" max="6173" width="0" style="57" hidden="1" customWidth="1"/>
    <col min="6174" max="6175" width="7.5703125" style="57" customWidth="1"/>
    <col min="6176" max="6176" width="8.7109375" style="57" customWidth="1"/>
    <col min="6177" max="6177" width="11.28515625" style="57" customWidth="1"/>
    <col min="6178" max="6178" width="11.7109375" style="57" customWidth="1"/>
    <col min="6179" max="6179" width="13.5703125" style="57" customWidth="1"/>
    <col min="6180" max="6180" width="10.5703125" style="57" customWidth="1"/>
    <col min="6181" max="6181" width="11.7109375" style="57" customWidth="1"/>
    <col min="6182" max="6182" width="11" style="57" customWidth="1"/>
    <col min="6183" max="6183" width="9.7109375" style="57" customWidth="1"/>
    <col min="6184" max="6185" width="0" style="57" hidden="1" customWidth="1"/>
    <col min="6186" max="6186" width="10.42578125" style="57" customWidth="1"/>
    <col min="6187" max="6222" width="6.5703125" style="57" customWidth="1"/>
    <col min="6223" max="6223" width="8.28515625" style="57" customWidth="1"/>
    <col min="6224" max="6227" width="8.42578125" style="57" customWidth="1"/>
    <col min="6228" max="6228" width="7.5703125" style="57" customWidth="1"/>
    <col min="6229" max="6230" width="9.28515625" style="57"/>
    <col min="6231" max="6231" width="54.42578125" style="57" customWidth="1"/>
    <col min="6232" max="6233" width="9.28515625" style="57" bestFit="1" customWidth="1"/>
    <col min="6234" max="6234" width="11" style="57" bestFit="1" customWidth="1"/>
    <col min="6235" max="6235" width="9.28515625" style="57" bestFit="1" customWidth="1"/>
    <col min="6236" max="6236" width="9.28515625" style="57"/>
    <col min="6237" max="6237" width="47.28515625" style="57" customWidth="1"/>
    <col min="6238" max="6239" width="9.28515625" style="57" bestFit="1" customWidth="1"/>
    <col min="6240" max="6240" width="11" style="57" bestFit="1" customWidth="1"/>
    <col min="6241" max="6241" width="9.28515625" style="57"/>
    <col min="6242" max="6242" width="11" style="57" bestFit="1" customWidth="1"/>
    <col min="6243" max="6402" width="9.28515625" style="57"/>
    <col min="6403" max="6403" width="4.5703125" style="57" bestFit="1" customWidth="1"/>
    <col min="6404" max="6404" width="32.28515625" style="57" customWidth="1"/>
    <col min="6405" max="6411" width="12.5703125" style="57" customWidth="1"/>
    <col min="6412" max="6412" width="14.42578125" style="57" customWidth="1"/>
    <col min="6413" max="6413" width="12.5703125" style="57" customWidth="1"/>
    <col min="6414" max="6414" width="13.7109375" style="57" customWidth="1"/>
    <col min="6415" max="6417" width="10" style="57" customWidth="1"/>
    <col min="6418" max="6419" width="10.5703125" style="57" customWidth="1"/>
    <col min="6420" max="6421" width="11.7109375" style="57" customWidth="1"/>
    <col min="6422" max="6424" width="8.5703125" style="57" customWidth="1"/>
    <col min="6425" max="6425" width="9.42578125" style="57" customWidth="1"/>
    <col min="6426" max="6427" width="13.28515625" style="57" customWidth="1"/>
    <col min="6428" max="6429" width="0" style="57" hidden="1" customWidth="1"/>
    <col min="6430" max="6431" width="7.5703125" style="57" customWidth="1"/>
    <col min="6432" max="6432" width="8.7109375" style="57" customWidth="1"/>
    <col min="6433" max="6433" width="11.28515625" style="57" customWidth="1"/>
    <col min="6434" max="6434" width="11.7109375" style="57" customWidth="1"/>
    <col min="6435" max="6435" width="13.5703125" style="57" customWidth="1"/>
    <col min="6436" max="6436" width="10.5703125" style="57" customWidth="1"/>
    <col min="6437" max="6437" width="11.7109375" style="57" customWidth="1"/>
    <col min="6438" max="6438" width="11" style="57" customWidth="1"/>
    <col min="6439" max="6439" width="9.7109375" style="57" customWidth="1"/>
    <col min="6440" max="6441" width="0" style="57" hidden="1" customWidth="1"/>
    <col min="6442" max="6442" width="10.42578125" style="57" customWidth="1"/>
    <col min="6443" max="6478" width="6.5703125" style="57" customWidth="1"/>
    <col min="6479" max="6479" width="8.28515625" style="57" customWidth="1"/>
    <col min="6480" max="6483" width="8.42578125" style="57" customWidth="1"/>
    <col min="6484" max="6484" width="7.5703125" style="57" customWidth="1"/>
    <col min="6485" max="6486" width="9.28515625" style="57"/>
    <col min="6487" max="6487" width="54.42578125" style="57" customWidth="1"/>
    <col min="6488" max="6489" width="9.28515625" style="57" bestFit="1" customWidth="1"/>
    <col min="6490" max="6490" width="11" style="57" bestFit="1" customWidth="1"/>
    <col min="6491" max="6491" width="9.28515625" style="57" bestFit="1" customWidth="1"/>
    <col min="6492" max="6492" width="9.28515625" style="57"/>
    <col min="6493" max="6493" width="47.28515625" style="57" customWidth="1"/>
    <col min="6494" max="6495" width="9.28515625" style="57" bestFit="1" customWidth="1"/>
    <col min="6496" max="6496" width="11" style="57" bestFit="1" customWidth="1"/>
    <col min="6497" max="6497" width="9.28515625" style="57"/>
    <col min="6498" max="6498" width="11" style="57" bestFit="1" customWidth="1"/>
    <col min="6499" max="6658" width="9.28515625" style="57"/>
    <col min="6659" max="6659" width="4.5703125" style="57" bestFit="1" customWidth="1"/>
    <col min="6660" max="6660" width="32.28515625" style="57" customWidth="1"/>
    <col min="6661" max="6667" width="12.5703125" style="57" customWidth="1"/>
    <col min="6668" max="6668" width="14.42578125" style="57" customWidth="1"/>
    <col min="6669" max="6669" width="12.5703125" style="57" customWidth="1"/>
    <col min="6670" max="6670" width="13.7109375" style="57" customWidth="1"/>
    <col min="6671" max="6673" width="10" style="57" customWidth="1"/>
    <col min="6674" max="6675" width="10.5703125" style="57" customWidth="1"/>
    <col min="6676" max="6677" width="11.7109375" style="57" customWidth="1"/>
    <col min="6678" max="6680" width="8.5703125" style="57" customWidth="1"/>
    <col min="6681" max="6681" width="9.42578125" style="57" customWidth="1"/>
    <col min="6682" max="6683" width="13.28515625" style="57" customWidth="1"/>
    <col min="6684" max="6685" width="0" style="57" hidden="1" customWidth="1"/>
    <col min="6686" max="6687" width="7.5703125" style="57" customWidth="1"/>
    <col min="6688" max="6688" width="8.7109375" style="57" customWidth="1"/>
    <col min="6689" max="6689" width="11.28515625" style="57" customWidth="1"/>
    <col min="6690" max="6690" width="11.7109375" style="57" customWidth="1"/>
    <col min="6691" max="6691" width="13.5703125" style="57" customWidth="1"/>
    <col min="6692" max="6692" width="10.5703125" style="57" customWidth="1"/>
    <col min="6693" max="6693" width="11.7109375" style="57" customWidth="1"/>
    <col min="6694" max="6694" width="11" style="57" customWidth="1"/>
    <col min="6695" max="6695" width="9.7109375" style="57" customWidth="1"/>
    <col min="6696" max="6697" width="0" style="57" hidden="1" customWidth="1"/>
    <col min="6698" max="6698" width="10.42578125" style="57" customWidth="1"/>
    <col min="6699" max="6734" width="6.5703125" style="57" customWidth="1"/>
    <col min="6735" max="6735" width="8.28515625" style="57" customWidth="1"/>
    <col min="6736" max="6739" width="8.42578125" style="57" customWidth="1"/>
    <col min="6740" max="6740" width="7.5703125" style="57" customWidth="1"/>
    <col min="6741" max="6742" width="9.28515625" style="57"/>
    <col min="6743" max="6743" width="54.42578125" style="57" customWidth="1"/>
    <col min="6744" max="6745" width="9.28515625" style="57" bestFit="1" customWidth="1"/>
    <col min="6746" max="6746" width="11" style="57" bestFit="1" customWidth="1"/>
    <col min="6747" max="6747" width="9.28515625" style="57" bestFit="1" customWidth="1"/>
    <col min="6748" max="6748" width="9.28515625" style="57"/>
    <col min="6749" max="6749" width="47.28515625" style="57" customWidth="1"/>
    <col min="6750" max="6751" width="9.28515625" style="57" bestFit="1" customWidth="1"/>
    <col min="6752" max="6752" width="11" style="57" bestFit="1" customWidth="1"/>
    <col min="6753" max="6753" width="9.28515625" style="57"/>
    <col min="6754" max="6754" width="11" style="57" bestFit="1" customWidth="1"/>
    <col min="6755" max="6914" width="9.28515625" style="57"/>
    <col min="6915" max="6915" width="4.5703125" style="57" bestFit="1" customWidth="1"/>
    <col min="6916" max="6916" width="32.28515625" style="57" customWidth="1"/>
    <col min="6917" max="6923" width="12.5703125" style="57" customWidth="1"/>
    <col min="6924" max="6924" width="14.42578125" style="57" customWidth="1"/>
    <col min="6925" max="6925" width="12.5703125" style="57" customWidth="1"/>
    <col min="6926" max="6926" width="13.7109375" style="57" customWidth="1"/>
    <col min="6927" max="6929" width="10" style="57" customWidth="1"/>
    <col min="6930" max="6931" width="10.5703125" style="57" customWidth="1"/>
    <col min="6932" max="6933" width="11.7109375" style="57" customWidth="1"/>
    <col min="6934" max="6936" width="8.5703125" style="57" customWidth="1"/>
    <col min="6937" max="6937" width="9.42578125" style="57" customWidth="1"/>
    <col min="6938" max="6939" width="13.28515625" style="57" customWidth="1"/>
    <col min="6940" max="6941" width="0" style="57" hidden="1" customWidth="1"/>
    <col min="6942" max="6943" width="7.5703125" style="57" customWidth="1"/>
    <col min="6944" max="6944" width="8.7109375" style="57" customWidth="1"/>
    <col min="6945" max="6945" width="11.28515625" style="57" customWidth="1"/>
    <col min="6946" max="6946" width="11.7109375" style="57" customWidth="1"/>
    <col min="6947" max="6947" width="13.5703125" style="57" customWidth="1"/>
    <col min="6948" max="6948" width="10.5703125" style="57" customWidth="1"/>
    <col min="6949" max="6949" width="11.7109375" style="57" customWidth="1"/>
    <col min="6950" max="6950" width="11" style="57" customWidth="1"/>
    <col min="6951" max="6951" width="9.7109375" style="57" customWidth="1"/>
    <col min="6952" max="6953" width="0" style="57" hidden="1" customWidth="1"/>
    <col min="6954" max="6954" width="10.42578125" style="57" customWidth="1"/>
    <col min="6955" max="6990" width="6.5703125" style="57" customWidth="1"/>
    <col min="6991" max="6991" width="8.28515625" style="57" customWidth="1"/>
    <col min="6992" max="6995" width="8.42578125" style="57" customWidth="1"/>
    <col min="6996" max="6996" width="7.5703125" style="57" customWidth="1"/>
    <col min="6997" max="6998" width="9.28515625" style="57"/>
    <col min="6999" max="6999" width="54.42578125" style="57" customWidth="1"/>
    <col min="7000" max="7001" width="9.28515625" style="57" bestFit="1" customWidth="1"/>
    <col min="7002" max="7002" width="11" style="57" bestFit="1" customWidth="1"/>
    <col min="7003" max="7003" width="9.28515625" style="57" bestFit="1" customWidth="1"/>
    <col min="7004" max="7004" width="9.28515625" style="57"/>
    <col min="7005" max="7005" width="47.28515625" style="57" customWidth="1"/>
    <col min="7006" max="7007" width="9.28515625" style="57" bestFit="1" customWidth="1"/>
    <col min="7008" max="7008" width="11" style="57" bestFit="1" customWidth="1"/>
    <col min="7009" max="7009" width="9.28515625" style="57"/>
    <col min="7010" max="7010" width="11" style="57" bestFit="1" customWidth="1"/>
    <col min="7011" max="7170" width="9.28515625" style="57"/>
    <col min="7171" max="7171" width="4.5703125" style="57" bestFit="1" customWidth="1"/>
    <col min="7172" max="7172" width="32.28515625" style="57" customWidth="1"/>
    <col min="7173" max="7179" width="12.5703125" style="57" customWidth="1"/>
    <col min="7180" max="7180" width="14.42578125" style="57" customWidth="1"/>
    <col min="7181" max="7181" width="12.5703125" style="57" customWidth="1"/>
    <col min="7182" max="7182" width="13.7109375" style="57" customWidth="1"/>
    <col min="7183" max="7185" width="10" style="57" customWidth="1"/>
    <col min="7186" max="7187" width="10.5703125" style="57" customWidth="1"/>
    <col min="7188" max="7189" width="11.7109375" style="57" customWidth="1"/>
    <col min="7190" max="7192" width="8.5703125" style="57" customWidth="1"/>
    <col min="7193" max="7193" width="9.42578125" style="57" customWidth="1"/>
    <col min="7194" max="7195" width="13.28515625" style="57" customWidth="1"/>
    <col min="7196" max="7197" width="0" style="57" hidden="1" customWidth="1"/>
    <col min="7198" max="7199" width="7.5703125" style="57" customWidth="1"/>
    <col min="7200" max="7200" width="8.7109375" style="57" customWidth="1"/>
    <col min="7201" max="7201" width="11.28515625" style="57" customWidth="1"/>
    <col min="7202" max="7202" width="11.7109375" style="57" customWidth="1"/>
    <col min="7203" max="7203" width="13.5703125" style="57" customWidth="1"/>
    <col min="7204" max="7204" width="10.5703125" style="57" customWidth="1"/>
    <col min="7205" max="7205" width="11.7109375" style="57" customWidth="1"/>
    <col min="7206" max="7206" width="11" style="57" customWidth="1"/>
    <col min="7207" max="7207" width="9.7109375" style="57" customWidth="1"/>
    <col min="7208" max="7209" width="0" style="57" hidden="1" customWidth="1"/>
    <col min="7210" max="7210" width="10.42578125" style="57" customWidth="1"/>
    <col min="7211" max="7246" width="6.5703125" style="57" customWidth="1"/>
    <col min="7247" max="7247" width="8.28515625" style="57" customWidth="1"/>
    <col min="7248" max="7251" width="8.42578125" style="57" customWidth="1"/>
    <col min="7252" max="7252" width="7.5703125" style="57" customWidth="1"/>
    <col min="7253" max="7254" width="9.28515625" style="57"/>
    <col min="7255" max="7255" width="54.42578125" style="57" customWidth="1"/>
    <col min="7256" max="7257" width="9.28515625" style="57" bestFit="1" customWidth="1"/>
    <col min="7258" max="7258" width="11" style="57" bestFit="1" customWidth="1"/>
    <col min="7259" max="7259" width="9.28515625" style="57" bestFit="1" customWidth="1"/>
    <col min="7260" max="7260" width="9.28515625" style="57"/>
    <col min="7261" max="7261" width="47.28515625" style="57" customWidth="1"/>
    <col min="7262" max="7263" width="9.28515625" style="57" bestFit="1" customWidth="1"/>
    <col min="7264" max="7264" width="11" style="57" bestFit="1" customWidth="1"/>
    <col min="7265" max="7265" width="9.28515625" style="57"/>
    <col min="7266" max="7266" width="11" style="57" bestFit="1" customWidth="1"/>
    <col min="7267" max="7426" width="9.28515625" style="57"/>
    <col min="7427" max="7427" width="4.5703125" style="57" bestFit="1" customWidth="1"/>
    <col min="7428" max="7428" width="32.28515625" style="57" customWidth="1"/>
    <col min="7429" max="7435" width="12.5703125" style="57" customWidth="1"/>
    <col min="7436" max="7436" width="14.42578125" style="57" customWidth="1"/>
    <col min="7437" max="7437" width="12.5703125" style="57" customWidth="1"/>
    <col min="7438" max="7438" width="13.7109375" style="57" customWidth="1"/>
    <col min="7439" max="7441" width="10" style="57" customWidth="1"/>
    <col min="7442" max="7443" width="10.5703125" style="57" customWidth="1"/>
    <col min="7444" max="7445" width="11.7109375" style="57" customWidth="1"/>
    <col min="7446" max="7448" width="8.5703125" style="57" customWidth="1"/>
    <col min="7449" max="7449" width="9.42578125" style="57" customWidth="1"/>
    <col min="7450" max="7451" width="13.28515625" style="57" customWidth="1"/>
    <col min="7452" max="7453" width="0" style="57" hidden="1" customWidth="1"/>
    <col min="7454" max="7455" width="7.5703125" style="57" customWidth="1"/>
    <col min="7456" max="7456" width="8.7109375" style="57" customWidth="1"/>
    <col min="7457" max="7457" width="11.28515625" style="57" customWidth="1"/>
    <col min="7458" max="7458" width="11.7109375" style="57" customWidth="1"/>
    <col min="7459" max="7459" width="13.5703125" style="57" customWidth="1"/>
    <col min="7460" max="7460" width="10.5703125" style="57" customWidth="1"/>
    <col min="7461" max="7461" width="11.7109375" style="57" customWidth="1"/>
    <col min="7462" max="7462" width="11" style="57" customWidth="1"/>
    <col min="7463" max="7463" width="9.7109375" style="57" customWidth="1"/>
    <col min="7464" max="7465" width="0" style="57" hidden="1" customWidth="1"/>
    <col min="7466" max="7466" width="10.42578125" style="57" customWidth="1"/>
    <col min="7467" max="7502" width="6.5703125" style="57" customWidth="1"/>
    <col min="7503" max="7503" width="8.28515625" style="57" customWidth="1"/>
    <col min="7504" max="7507" width="8.42578125" style="57" customWidth="1"/>
    <col min="7508" max="7508" width="7.5703125" style="57" customWidth="1"/>
    <col min="7509" max="7510" width="9.28515625" style="57"/>
    <col min="7511" max="7511" width="54.42578125" style="57" customWidth="1"/>
    <col min="7512" max="7513" width="9.28515625" style="57" bestFit="1" customWidth="1"/>
    <col min="7514" max="7514" width="11" style="57" bestFit="1" customWidth="1"/>
    <col min="7515" max="7515" width="9.28515625" style="57" bestFit="1" customWidth="1"/>
    <col min="7516" max="7516" width="9.28515625" style="57"/>
    <col min="7517" max="7517" width="47.28515625" style="57" customWidth="1"/>
    <col min="7518" max="7519" width="9.28515625" style="57" bestFit="1" customWidth="1"/>
    <col min="7520" max="7520" width="11" style="57" bestFit="1" customWidth="1"/>
    <col min="7521" max="7521" width="9.28515625" style="57"/>
    <col min="7522" max="7522" width="11" style="57" bestFit="1" customWidth="1"/>
    <col min="7523" max="7682" width="9.28515625" style="57"/>
    <col min="7683" max="7683" width="4.5703125" style="57" bestFit="1" customWidth="1"/>
    <col min="7684" max="7684" width="32.28515625" style="57" customWidth="1"/>
    <col min="7685" max="7691" width="12.5703125" style="57" customWidth="1"/>
    <col min="7692" max="7692" width="14.42578125" style="57" customWidth="1"/>
    <col min="7693" max="7693" width="12.5703125" style="57" customWidth="1"/>
    <col min="7694" max="7694" width="13.7109375" style="57" customWidth="1"/>
    <col min="7695" max="7697" width="10" style="57" customWidth="1"/>
    <col min="7698" max="7699" width="10.5703125" style="57" customWidth="1"/>
    <col min="7700" max="7701" width="11.7109375" style="57" customWidth="1"/>
    <col min="7702" max="7704" width="8.5703125" style="57" customWidth="1"/>
    <col min="7705" max="7705" width="9.42578125" style="57" customWidth="1"/>
    <col min="7706" max="7707" width="13.28515625" style="57" customWidth="1"/>
    <col min="7708" max="7709" width="0" style="57" hidden="1" customWidth="1"/>
    <col min="7710" max="7711" width="7.5703125" style="57" customWidth="1"/>
    <col min="7712" max="7712" width="8.7109375" style="57" customWidth="1"/>
    <col min="7713" max="7713" width="11.28515625" style="57" customWidth="1"/>
    <col min="7714" max="7714" width="11.7109375" style="57" customWidth="1"/>
    <col min="7715" max="7715" width="13.5703125" style="57" customWidth="1"/>
    <col min="7716" max="7716" width="10.5703125" style="57" customWidth="1"/>
    <col min="7717" max="7717" width="11.7109375" style="57" customWidth="1"/>
    <col min="7718" max="7718" width="11" style="57" customWidth="1"/>
    <col min="7719" max="7719" width="9.7109375" style="57" customWidth="1"/>
    <col min="7720" max="7721" width="0" style="57" hidden="1" customWidth="1"/>
    <col min="7722" max="7722" width="10.42578125" style="57" customWidth="1"/>
    <col min="7723" max="7758" width="6.5703125" style="57" customWidth="1"/>
    <col min="7759" max="7759" width="8.28515625" style="57" customWidth="1"/>
    <col min="7760" max="7763" width="8.42578125" style="57" customWidth="1"/>
    <col min="7764" max="7764" width="7.5703125" style="57" customWidth="1"/>
    <col min="7765" max="7766" width="9.28515625" style="57"/>
    <col min="7767" max="7767" width="54.42578125" style="57" customWidth="1"/>
    <col min="7768" max="7769" width="9.28515625" style="57" bestFit="1" customWidth="1"/>
    <col min="7770" max="7770" width="11" style="57" bestFit="1" customWidth="1"/>
    <col min="7771" max="7771" width="9.28515625" style="57" bestFit="1" customWidth="1"/>
    <col min="7772" max="7772" width="9.28515625" style="57"/>
    <col min="7773" max="7773" width="47.28515625" style="57" customWidth="1"/>
    <col min="7774" max="7775" width="9.28515625" style="57" bestFit="1" customWidth="1"/>
    <col min="7776" max="7776" width="11" style="57" bestFit="1" customWidth="1"/>
    <col min="7777" max="7777" width="9.28515625" style="57"/>
    <col min="7778" max="7778" width="11" style="57" bestFit="1" customWidth="1"/>
    <col min="7779" max="7938" width="9.28515625" style="57"/>
    <col min="7939" max="7939" width="4.5703125" style="57" bestFit="1" customWidth="1"/>
    <col min="7940" max="7940" width="32.28515625" style="57" customWidth="1"/>
    <col min="7941" max="7947" width="12.5703125" style="57" customWidth="1"/>
    <col min="7948" max="7948" width="14.42578125" style="57" customWidth="1"/>
    <col min="7949" max="7949" width="12.5703125" style="57" customWidth="1"/>
    <col min="7950" max="7950" width="13.7109375" style="57" customWidth="1"/>
    <col min="7951" max="7953" width="10" style="57" customWidth="1"/>
    <col min="7954" max="7955" width="10.5703125" style="57" customWidth="1"/>
    <col min="7956" max="7957" width="11.7109375" style="57" customWidth="1"/>
    <col min="7958" max="7960" width="8.5703125" style="57" customWidth="1"/>
    <col min="7961" max="7961" width="9.42578125" style="57" customWidth="1"/>
    <col min="7962" max="7963" width="13.28515625" style="57" customWidth="1"/>
    <col min="7964" max="7965" width="0" style="57" hidden="1" customWidth="1"/>
    <col min="7966" max="7967" width="7.5703125" style="57" customWidth="1"/>
    <col min="7968" max="7968" width="8.7109375" style="57" customWidth="1"/>
    <col min="7969" max="7969" width="11.28515625" style="57" customWidth="1"/>
    <col min="7970" max="7970" width="11.7109375" style="57" customWidth="1"/>
    <col min="7971" max="7971" width="13.5703125" style="57" customWidth="1"/>
    <col min="7972" max="7972" width="10.5703125" style="57" customWidth="1"/>
    <col min="7973" max="7973" width="11.7109375" style="57" customWidth="1"/>
    <col min="7974" max="7974" width="11" style="57" customWidth="1"/>
    <col min="7975" max="7975" width="9.7109375" style="57" customWidth="1"/>
    <col min="7976" max="7977" width="0" style="57" hidden="1" customWidth="1"/>
    <col min="7978" max="7978" width="10.42578125" style="57" customWidth="1"/>
    <col min="7979" max="8014" width="6.5703125" style="57" customWidth="1"/>
    <col min="8015" max="8015" width="8.28515625" style="57" customWidth="1"/>
    <col min="8016" max="8019" width="8.42578125" style="57" customWidth="1"/>
    <col min="8020" max="8020" width="7.5703125" style="57" customWidth="1"/>
    <col min="8021" max="8022" width="9.28515625" style="57"/>
    <col min="8023" max="8023" width="54.42578125" style="57" customWidth="1"/>
    <col min="8024" max="8025" width="9.28515625" style="57" bestFit="1" customWidth="1"/>
    <col min="8026" max="8026" width="11" style="57" bestFit="1" customWidth="1"/>
    <col min="8027" max="8027" width="9.28515625" style="57" bestFit="1" customWidth="1"/>
    <col min="8028" max="8028" width="9.28515625" style="57"/>
    <col min="8029" max="8029" width="47.28515625" style="57" customWidth="1"/>
    <col min="8030" max="8031" width="9.28515625" style="57" bestFit="1" customWidth="1"/>
    <col min="8032" max="8032" width="11" style="57" bestFit="1" customWidth="1"/>
    <col min="8033" max="8033" width="9.28515625" style="57"/>
    <col min="8034" max="8034" width="11" style="57" bestFit="1" customWidth="1"/>
    <col min="8035" max="8194" width="9.28515625" style="57"/>
    <col min="8195" max="8195" width="4.5703125" style="57" bestFit="1" customWidth="1"/>
    <col min="8196" max="8196" width="32.28515625" style="57" customWidth="1"/>
    <col min="8197" max="8203" width="12.5703125" style="57" customWidth="1"/>
    <col min="8204" max="8204" width="14.42578125" style="57" customWidth="1"/>
    <col min="8205" max="8205" width="12.5703125" style="57" customWidth="1"/>
    <col min="8206" max="8206" width="13.7109375" style="57" customWidth="1"/>
    <col min="8207" max="8209" width="10" style="57" customWidth="1"/>
    <col min="8210" max="8211" width="10.5703125" style="57" customWidth="1"/>
    <col min="8212" max="8213" width="11.7109375" style="57" customWidth="1"/>
    <col min="8214" max="8216" width="8.5703125" style="57" customWidth="1"/>
    <col min="8217" max="8217" width="9.42578125" style="57" customWidth="1"/>
    <col min="8218" max="8219" width="13.28515625" style="57" customWidth="1"/>
    <col min="8220" max="8221" width="0" style="57" hidden="1" customWidth="1"/>
    <col min="8222" max="8223" width="7.5703125" style="57" customWidth="1"/>
    <col min="8224" max="8224" width="8.7109375" style="57" customWidth="1"/>
    <col min="8225" max="8225" width="11.28515625" style="57" customWidth="1"/>
    <col min="8226" max="8226" width="11.7109375" style="57" customWidth="1"/>
    <col min="8227" max="8227" width="13.5703125" style="57" customWidth="1"/>
    <col min="8228" max="8228" width="10.5703125" style="57" customWidth="1"/>
    <col min="8229" max="8229" width="11.7109375" style="57" customWidth="1"/>
    <col min="8230" max="8230" width="11" style="57" customWidth="1"/>
    <col min="8231" max="8231" width="9.7109375" style="57" customWidth="1"/>
    <col min="8232" max="8233" width="0" style="57" hidden="1" customWidth="1"/>
    <col min="8234" max="8234" width="10.42578125" style="57" customWidth="1"/>
    <col min="8235" max="8270" width="6.5703125" style="57" customWidth="1"/>
    <col min="8271" max="8271" width="8.28515625" style="57" customWidth="1"/>
    <col min="8272" max="8275" width="8.42578125" style="57" customWidth="1"/>
    <col min="8276" max="8276" width="7.5703125" style="57" customWidth="1"/>
    <col min="8277" max="8278" width="9.28515625" style="57"/>
    <col min="8279" max="8279" width="54.42578125" style="57" customWidth="1"/>
    <col min="8280" max="8281" width="9.28515625" style="57" bestFit="1" customWidth="1"/>
    <col min="8282" max="8282" width="11" style="57" bestFit="1" customWidth="1"/>
    <col min="8283" max="8283" width="9.28515625" style="57" bestFit="1" customWidth="1"/>
    <col min="8284" max="8284" width="9.28515625" style="57"/>
    <col min="8285" max="8285" width="47.28515625" style="57" customWidth="1"/>
    <col min="8286" max="8287" width="9.28515625" style="57" bestFit="1" customWidth="1"/>
    <col min="8288" max="8288" width="11" style="57" bestFit="1" customWidth="1"/>
    <col min="8289" max="8289" width="9.28515625" style="57"/>
    <col min="8290" max="8290" width="11" style="57" bestFit="1" customWidth="1"/>
    <col min="8291" max="8450" width="9.28515625" style="57"/>
    <col min="8451" max="8451" width="4.5703125" style="57" bestFit="1" customWidth="1"/>
    <col min="8452" max="8452" width="32.28515625" style="57" customWidth="1"/>
    <col min="8453" max="8459" width="12.5703125" style="57" customWidth="1"/>
    <col min="8460" max="8460" width="14.42578125" style="57" customWidth="1"/>
    <col min="8461" max="8461" width="12.5703125" style="57" customWidth="1"/>
    <col min="8462" max="8462" width="13.7109375" style="57" customWidth="1"/>
    <col min="8463" max="8465" width="10" style="57" customWidth="1"/>
    <col min="8466" max="8467" width="10.5703125" style="57" customWidth="1"/>
    <col min="8468" max="8469" width="11.7109375" style="57" customWidth="1"/>
    <col min="8470" max="8472" width="8.5703125" style="57" customWidth="1"/>
    <col min="8473" max="8473" width="9.42578125" style="57" customWidth="1"/>
    <col min="8474" max="8475" width="13.28515625" style="57" customWidth="1"/>
    <col min="8476" max="8477" width="0" style="57" hidden="1" customWidth="1"/>
    <col min="8478" max="8479" width="7.5703125" style="57" customWidth="1"/>
    <col min="8480" max="8480" width="8.7109375" style="57" customWidth="1"/>
    <col min="8481" max="8481" width="11.28515625" style="57" customWidth="1"/>
    <col min="8482" max="8482" width="11.7109375" style="57" customWidth="1"/>
    <col min="8483" max="8483" width="13.5703125" style="57" customWidth="1"/>
    <col min="8484" max="8484" width="10.5703125" style="57" customWidth="1"/>
    <col min="8485" max="8485" width="11.7109375" style="57" customWidth="1"/>
    <col min="8486" max="8486" width="11" style="57" customWidth="1"/>
    <col min="8487" max="8487" width="9.7109375" style="57" customWidth="1"/>
    <col min="8488" max="8489" width="0" style="57" hidden="1" customWidth="1"/>
    <col min="8490" max="8490" width="10.42578125" style="57" customWidth="1"/>
    <col min="8491" max="8526" width="6.5703125" style="57" customWidth="1"/>
    <col min="8527" max="8527" width="8.28515625" style="57" customWidth="1"/>
    <col min="8528" max="8531" width="8.42578125" style="57" customWidth="1"/>
    <col min="8532" max="8532" width="7.5703125" style="57" customWidth="1"/>
    <col min="8533" max="8534" width="9.28515625" style="57"/>
    <col min="8535" max="8535" width="54.42578125" style="57" customWidth="1"/>
    <col min="8536" max="8537" width="9.28515625" style="57" bestFit="1" customWidth="1"/>
    <col min="8538" max="8538" width="11" style="57" bestFit="1" customWidth="1"/>
    <col min="8539" max="8539" width="9.28515625" style="57" bestFit="1" customWidth="1"/>
    <col min="8540" max="8540" width="9.28515625" style="57"/>
    <col min="8541" max="8541" width="47.28515625" style="57" customWidth="1"/>
    <col min="8542" max="8543" width="9.28515625" style="57" bestFit="1" customWidth="1"/>
    <col min="8544" max="8544" width="11" style="57" bestFit="1" customWidth="1"/>
    <col min="8545" max="8545" width="9.28515625" style="57"/>
    <col min="8546" max="8546" width="11" style="57" bestFit="1" customWidth="1"/>
    <col min="8547" max="8706" width="9.28515625" style="57"/>
    <col min="8707" max="8707" width="4.5703125" style="57" bestFit="1" customWidth="1"/>
    <col min="8708" max="8708" width="32.28515625" style="57" customWidth="1"/>
    <col min="8709" max="8715" width="12.5703125" style="57" customWidth="1"/>
    <col min="8716" max="8716" width="14.42578125" style="57" customWidth="1"/>
    <col min="8717" max="8717" width="12.5703125" style="57" customWidth="1"/>
    <col min="8718" max="8718" width="13.7109375" style="57" customWidth="1"/>
    <col min="8719" max="8721" width="10" style="57" customWidth="1"/>
    <col min="8722" max="8723" width="10.5703125" style="57" customWidth="1"/>
    <col min="8724" max="8725" width="11.7109375" style="57" customWidth="1"/>
    <col min="8726" max="8728" width="8.5703125" style="57" customWidth="1"/>
    <col min="8729" max="8729" width="9.42578125" style="57" customWidth="1"/>
    <col min="8730" max="8731" width="13.28515625" style="57" customWidth="1"/>
    <col min="8732" max="8733" width="0" style="57" hidden="1" customWidth="1"/>
    <col min="8734" max="8735" width="7.5703125" style="57" customWidth="1"/>
    <col min="8736" max="8736" width="8.7109375" style="57" customWidth="1"/>
    <col min="8737" max="8737" width="11.28515625" style="57" customWidth="1"/>
    <col min="8738" max="8738" width="11.7109375" style="57" customWidth="1"/>
    <col min="8739" max="8739" width="13.5703125" style="57" customWidth="1"/>
    <col min="8740" max="8740" width="10.5703125" style="57" customWidth="1"/>
    <col min="8741" max="8741" width="11.7109375" style="57" customWidth="1"/>
    <col min="8742" max="8742" width="11" style="57" customWidth="1"/>
    <col min="8743" max="8743" width="9.7109375" style="57" customWidth="1"/>
    <col min="8744" max="8745" width="0" style="57" hidden="1" customWidth="1"/>
    <col min="8746" max="8746" width="10.42578125" style="57" customWidth="1"/>
    <col min="8747" max="8782" width="6.5703125" style="57" customWidth="1"/>
    <col min="8783" max="8783" width="8.28515625" style="57" customWidth="1"/>
    <col min="8784" max="8787" width="8.42578125" style="57" customWidth="1"/>
    <col min="8788" max="8788" width="7.5703125" style="57" customWidth="1"/>
    <col min="8789" max="8790" width="9.28515625" style="57"/>
    <col min="8791" max="8791" width="54.42578125" style="57" customWidth="1"/>
    <col min="8792" max="8793" width="9.28515625" style="57" bestFit="1" customWidth="1"/>
    <col min="8794" max="8794" width="11" style="57" bestFit="1" customWidth="1"/>
    <col min="8795" max="8795" width="9.28515625" style="57" bestFit="1" customWidth="1"/>
    <col min="8796" max="8796" width="9.28515625" style="57"/>
    <col min="8797" max="8797" width="47.28515625" style="57" customWidth="1"/>
    <col min="8798" max="8799" width="9.28515625" style="57" bestFit="1" customWidth="1"/>
    <col min="8800" max="8800" width="11" style="57" bestFit="1" customWidth="1"/>
    <col min="8801" max="8801" width="9.28515625" style="57"/>
    <col min="8802" max="8802" width="11" style="57" bestFit="1" customWidth="1"/>
    <col min="8803" max="8962" width="9.28515625" style="57"/>
    <col min="8963" max="8963" width="4.5703125" style="57" bestFit="1" customWidth="1"/>
    <col min="8964" max="8964" width="32.28515625" style="57" customWidth="1"/>
    <col min="8965" max="8971" width="12.5703125" style="57" customWidth="1"/>
    <col min="8972" max="8972" width="14.42578125" style="57" customWidth="1"/>
    <col min="8973" max="8973" width="12.5703125" style="57" customWidth="1"/>
    <col min="8974" max="8974" width="13.7109375" style="57" customWidth="1"/>
    <col min="8975" max="8977" width="10" style="57" customWidth="1"/>
    <col min="8978" max="8979" width="10.5703125" style="57" customWidth="1"/>
    <col min="8980" max="8981" width="11.7109375" style="57" customWidth="1"/>
    <col min="8982" max="8984" width="8.5703125" style="57" customWidth="1"/>
    <col min="8985" max="8985" width="9.42578125" style="57" customWidth="1"/>
    <col min="8986" max="8987" width="13.28515625" style="57" customWidth="1"/>
    <col min="8988" max="8989" width="0" style="57" hidden="1" customWidth="1"/>
    <col min="8990" max="8991" width="7.5703125" style="57" customWidth="1"/>
    <col min="8992" max="8992" width="8.7109375" style="57" customWidth="1"/>
    <col min="8993" max="8993" width="11.28515625" style="57" customWidth="1"/>
    <col min="8994" max="8994" width="11.7109375" style="57" customWidth="1"/>
    <col min="8995" max="8995" width="13.5703125" style="57" customWidth="1"/>
    <col min="8996" max="8996" width="10.5703125" style="57" customWidth="1"/>
    <col min="8997" max="8997" width="11.7109375" style="57" customWidth="1"/>
    <col min="8998" max="8998" width="11" style="57" customWidth="1"/>
    <col min="8999" max="8999" width="9.7109375" style="57" customWidth="1"/>
    <col min="9000" max="9001" width="0" style="57" hidden="1" customWidth="1"/>
    <col min="9002" max="9002" width="10.42578125" style="57" customWidth="1"/>
    <col min="9003" max="9038" width="6.5703125" style="57" customWidth="1"/>
    <col min="9039" max="9039" width="8.28515625" style="57" customWidth="1"/>
    <col min="9040" max="9043" width="8.42578125" style="57" customWidth="1"/>
    <col min="9044" max="9044" width="7.5703125" style="57" customWidth="1"/>
    <col min="9045" max="9046" width="9.28515625" style="57"/>
    <col min="9047" max="9047" width="54.42578125" style="57" customWidth="1"/>
    <col min="9048" max="9049" width="9.28515625" style="57" bestFit="1" customWidth="1"/>
    <col min="9050" max="9050" width="11" style="57" bestFit="1" customWidth="1"/>
    <col min="9051" max="9051" width="9.28515625" style="57" bestFit="1" customWidth="1"/>
    <col min="9052" max="9052" width="9.28515625" style="57"/>
    <col min="9053" max="9053" width="47.28515625" style="57" customWidth="1"/>
    <col min="9054" max="9055" width="9.28515625" style="57" bestFit="1" customWidth="1"/>
    <col min="9056" max="9056" width="11" style="57" bestFit="1" customWidth="1"/>
    <col min="9057" max="9057" width="9.28515625" style="57"/>
    <col min="9058" max="9058" width="11" style="57" bestFit="1" customWidth="1"/>
    <col min="9059" max="9218" width="9.28515625" style="57"/>
    <col min="9219" max="9219" width="4.5703125" style="57" bestFit="1" customWidth="1"/>
    <col min="9220" max="9220" width="32.28515625" style="57" customWidth="1"/>
    <col min="9221" max="9227" width="12.5703125" style="57" customWidth="1"/>
    <col min="9228" max="9228" width="14.42578125" style="57" customWidth="1"/>
    <col min="9229" max="9229" width="12.5703125" style="57" customWidth="1"/>
    <col min="9230" max="9230" width="13.7109375" style="57" customWidth="1"/>
    <col min="9231" max="9233" width="10" style="57" customWidth="1"/>
    <col min="9234" max="9235" width="10.5703125" style="57" customWidth="1"/>
    <col min="9236" max="9237" width="11.7109375" style="57" customWidth="1"/>
    <col min="9238" max="9240" width="8.5703125" style="57" customWidth="1"/>
    <col min="9241" max="9241" width="9.42578125" style="57" customWidth="1"/>
    <col min="9242" max="9243" width="13.28515625" style="57" customWidth="1"/>
    <col min="9244" max="9245" width="0" style="57" hidden="1" customWidth="1"/>
    <col min="9246" max="9247" width="7.5703125" style="57" customWidth="1"/>
    <col min="9248" max="9248" width="8.7109375" style="57" customWidth="1"/>
    <col min="9249" max="9249" width="11.28515625" style="57" customWidth="1"/>
    <col min="9250" max="9250" width="11.7109375" style="57" customWidth="1"/>
    <col min="9251" max="9251" width="13.5703125" style="57" customWidth="1"/>
    <col min="9252" max="9252" width="10.5703125" style="57" customWidth="1"/>
    <col min="9253" max="9253" width="11.7109375" style="57" customWidth="1"/>
    <col min="9254" max="9254" width="11" style="57" customWidth="1"/>
    <col min="9255" max="9255" width="9.7109375" style="57" customWidth="1"/>
    <col min="9256" max="9257" width="0" style="57" hidden="1" customWidth="1"/>
    <col min="9258" max="9258" width="10.42578125" style="57" customWidth="1"/>
    <col min="9259" max="9294" width="6.5703125" style="57" customWidth="1"/>
    <col min="9295" max="9295" width="8.28515625" style="57" customWidth="1"/>
    <col min="9296" max="9299" width="8.42578125" style="57" customWidth="1"/>
    <col min="9300" max="9300" width="7.5703125" style="57" customWidth="1"/>
    <col min="9301" max="9302" width="9.28515625" style="57"/>
    <col min="9303" max="9303" width="54.42578125" style="57" customWidth="1"/>
    <col min="9304" max="9305" width="9.28515625" style="57" bestFit="1" customWidth="1"/>
    <col min="9306" max="9306" width="11" style="57" bestFit="1" customWidth="1"/>
    <col min="9307" max="9307" width="9.28515625" style="57" bestFit="1" customWidth="1"/>
    <col min="9308" max="9308" width="9.28515625" style="57"/>
    <col min="9309" max="9309" width="47.28515625" style="57" customWidth="1"/>
    <col min="9310" max="9311" width="9.28515625" style="57" bestFit="1" customWidth="1"/>
    <col min="9312" max="9312" width="11" style="57" bestFit="1" customWidth="1"/>
    <col min="9313" max="9313" width="9.28515625" style="57"/>
    <col min="9314" max="9314" width="11" style="57" bestFit="1" customWidth="1"/>
    <col min="9315" max="9474" width="9.28515625" style="57"/>
    <col min="9475" max="9475" width="4.5703125" style="57" bestFit="1" customWidth="1"/>
    <col min="9476" max="9476" width="32.28515625" style="57" customWidth="1"/>
    <col min="9477" max="9483" width="12.5703125" style="57" customWidth="1"/>
    <col min="9484" max="9484" width="14.42578125" style="57" customWidth="1"/>
    <col min="9485" max="9485" width="12.5703125" style="57" customWidth="1"/>
    <col min="9486" max="9486" width="13.7109375" style="57" customWidth="1"/>
    <col min="9487" max="9489" width="10" style="57" customWidth="1"/>
    <col min="9490" max="9491" width="10.5703125" style="57" customWidth="1"/>
    <col min="9492" max="9493" width="11.7109375" style="57" customWidth="1"/>
    <col min="9494" max="9496" width="8.5703125" style="57" customWidth="1"/>
    <col min="9497" max="9497" width="9.42578125" style="57" customWidth="1"/>
    <col min="9498" max="9499" width="13.28515625" style="57" customWidth="1"/>
    <col min="9500" max="9501" width="0" style="57" hidden="1" customWidth="1"/>
    <col min="9502" max="9503" width="7.5703125" style="57" customWidth="1"/>
    <col min="9504" max="9504" width="8.7109375" style="57" customWidth="1"/>
    <col min="9505" max="9505" width="11.28515625" style="57" customWidth="1"/>
    <col min="9506" max="9506" width="11.7109375" style="57" customWidth="1"/>
    <col min="9507" max="9507" width="13.5703125" style="57" customWidth="1"/>
    <col min="9508" max="9508" width="10.5703125" style="57" customWidth="1"/>
    <col min="9509" max="9509" width="11.7109375" style="57" customWidth="1"/>
    <col min="9510" max="9510" width="11" style="57" customWidth="1"/>
    <col min="9511" max="9511" width="9.7109375" style="57" customWidth="1"/>
    <col min="9512" max="9513" width="0" style="57" hidden="1" customWidth="1"/>
    <col min="9514" max="9514" width="10.42578125" style="57" customWidth="1"/>
    <col min="9515" max="9550" width="6.5703125" style="57" customWidth="1"/>
    <col min="9551" max="9551" width="8.28515625" style="57" customWidth="1"/>
    <col min="9552" max="9555" width="8.42578125" style="57" customWidth="1"/>
    <col min="9556" max="9556" width="7.5703125" style="57" customWidth="1"/>
    <col min="9557" max="9558" width="9.28515625" style="57"/>
    <col min="9559" max="9559" width="54.42578125" style="57" customWidth="1"/>
    <col min="9560" max="9561" width="9.28515625" style="57" bestFit="1" customWidth="1"/>
    <col min="9562" max="9562" width="11" style="57" bestFit="1" customWidth="1"/>
    <col min="9563" max="9563" width="9.28515625" style="57" bestFit="1" customWidth="1"/>
    <col min="9564" max="9564" width="9.28515625" style="57"/>
    <col min="9565" max="9565" width="47.28515625" style="57" customWidth="1"/>
    <col min="9566" max="9567" width="9.28515625" style="57" bestFit="1" customWidth="1"/>
    <col min="9568" max="9568" width="11" style="57" bestFit="1" customWidth="1"/>
    <col min="9569" max="9569" width="9.28515625" style="57"/>
    <col min="9570" max="9570" width="11" style="57" bestFit="1" customWidth="1"/>
    <col min="9571" max="9730" width="9.28515625" style="57"/>
    <col min="9731" max="9731" width="4.5703125" style="57" bestFit="1" customWidth="1"/>
    <col min="9732" max="9732" width="32.28515625" style="57" customWidth="1"/>
    <col min="9733" max="9739" width="12.5703125" style="57" customWidth="1"/>
    <col min="9740" max="9740" width="14.42578125" style="57" customWidth="1"/>
    <col min="9741" max="9741" width="12.5703125" style="57" customWidth="1"/>
    <col min="9742" max="9742" width="13.7109375" style="57" customWidth="1"/>
    <col min="9743" max="9745" width="10" style="57" customWidth="1"/>
    <col min="9746" max="9747" width="10.5703125" style="57" customWidth="1"/>
    <col min="9748" max="9749" width="11.7109375" style="57" customWidth="1"/>
    <col min="9750" max="9752" width="8.5703125" style="57" customWidth="1"/>
    <col min="9753" max="9753" width="9.42578125" style="57" customWidth="1"/>
    <col min="9754" max="9755" width="13.28515625" style="57" customWidth="1"/>
    <col min="9756" max="9757" width="0" style="57" hidden="1" customWidth="1"/>
    <col min="9758" max="9759" width="7.5703125" style="57" customWidth="1"/>
    <col min="9760" max="9760" width="8.7109375" style="57" customWidth="1"/>
    <col min="9761" max="9761" width="11.28515625" style="57" customWidth="1"/>
    <col min="9762" max="9762" width="11.7109375" style="57" customWidth="1"/>
    <col min="9763" max="9763" width="13.5703125" style="57" customWidth="1"/>
    <col min="9764" max="9764" width="10.5703125" style="57" customWidth="1"/>
    <col min="9765" max="9765" width="11.7109375" style="57" customWidth="1"/>
    <col min="9766" max="9766" width="11" style="57" customWidth="1"/>
    <col min="9767" max="9767" width="9.7109375" style="57" customWidth="1"/>
    <col min="9768" max="9769" width="0" style="57" hidden="1" customWidth="1"/>
    <col min="9770" max="9770" width="10.42578125" style="57" customWidth="1"/>
    <col min="9771" max="9806" width="6.5703125" style="57" customWidth="1"/>
    <col min="9807" max="9807" width="8.28515625" style="57" customWidth="1"/>
    <col min="9808" max="9811" width="8.42578125" style="57" customWidth="1"/>
    <col min="9812" max="9812" width="7.5703125" style="57" customWidth="1"/>
    <col min="9813" max="9814" width="9.28515625" style="57"/>
    <col min="9815" max="9815" width="54.42578125" style="57" customWidth="1"/>
    <col min="9816" max="9817" width="9.28515625" style="57" bestFit="1" customWidth="1"/>
    <col min="9818" max="9818" width="11" style="57" bestFit="1" customWidth="1"/>
    <col min="9819" max="9819" width="9.28515625" style="57" bestFit="1" customWidth="1"/>
    <col min="9820" max="9820" width="9.28515625" style="57"/>
    <col min="9821" max="9821" width="47.28515625" style="57" customWidth="1"/>
    <col min="9822" max="9823" width="9.28515625" style="57" bestFit="1" customWidth="1"/>
    <col min="9824" max="9824" width="11" style="57" bestFit="1" customWidth="1"/>
    <col min="9825" max="9825" width="9.28515625" style="57"/>
    <col min="9826" max="9826" width="11" style="57" bestFit="1" customWidth="1"/>
    <col min="9827" max="9986" width="9.28515625" style="57"/>
    <col min="9987" max="9987" width="4.5703125" style="57" bestFit="1" customWidth="1"/>
    <col min="9988" max="9988" width="32.28515625" style="57" customWidth="1"/>
    <col min="9989" max="9995" width="12.5703125" style="57" customWidth="1"/>
    <col min="9996" max="9996" width="14.42578125" style="57" customWidth="1"/>
    <col min="9997" max="9997" width="12.5703125" style="57" customWidth="1"/>
    <col min="9998" max="9998" width="13.7109375" style="57" customWidth="1"/>
    <col min="9999" max="10001" width="10" style="57" customWidth="1"/>
    <col min="10002" max="10003" width="10.5703125" style="57" customWidth="1"/>
    <col min="10004" max="10005" width="11.7109375" style="57" customWidth="1"/>
    <col min="10006" max="10008" width="8.5703125" style="57" customWidth="1"/>
    <col min="10009" max="10009" width="9.42578125" style="57" customWidth="1"/>
    <col min="10010" max="10011" width="13.28515625" style="57" customWidth="1"/>
    <col min="10012" max="10013" width="0" style="57" hidden="1" customWidth="1"/>
    <col min="10014" max="10015" width="7.5703125" style="57" customWidth="1"/>
    <col min="10016" max="10016" width="8.7109375" style="57" customWidth="1"/>
    <col min="10017" max="10017" width="11.28515625" style="57" customWidth="1"/>
    <col min="10018" max="10018" width="11.7109375" style="57" customWidth="1"/>
    <col min="10019" max="10019" width="13.5703125" style="57" customWidth="1"/>
    <col min="10020" max="10020" width="10.5703125" style="57" customWidth="1"/>
    <col min="10021" max="10021" width="11.7109375" style="57" customWidth="1"/>
    <col min="10022" max="10022" width="11" style="57" customWidth="1"/>
    <col min="10023" max="10023" width="9.7109375" style="57" customWidth="1"/>
    <col min="10024" max="10025" width="0" style="57" hidden="1" customWidth="1"/>
    <col min="10026" max="10026" width="10.42578125" style="57" customWidth="1"/>
    <col min="10027" max="10062" width="6.5703125" style="57" customWidth="1"/>
    <col min="10063" max="10063" width="8.28515625" style="57" customWidth="1"/>
    <col min="10064" max="10067" width="8.42578125" style="57" customWidth="1"/>
    <col min="10068" max="10068" width="7.5703125" style="57" customWidth="1"/>
    <col min="10069" max="10070" width="9.28515625" style="57"/>
    <col min="10071" max="10071" width="54.42578125" style="57" customWidth="1"/>
    <col min="10072" max="10073" width="9.28515625" style="57" bestFit="1" customWidth="1"/>
    <col min="10074" max="10074" width="11" style="57" bestFit="1" customWidth="1"/>
    <col min="10075" max="10075" width="9.28515625" style="57" bestFit="1" customWidth="1"/>
    <col min="10076" max="10076" width="9.28515625" style="57"/>
    <col min="10077" max="10077" width="47.28515625" style="57" customWidth="1"/>
    <col min="10078" max="10079" width="9.28515625" style="57" bestFit="1" customWidth="1"/>
    <col min="10080" max="10080" width="11" style="57" bestFit="1" customWidth="1"/>
    <col min="10081" max="10081" width="9.28515625" style="57"/>
    <col min="10082" max="10082" width="11" style="57" bestFit="1" customWidth="1"/>
    <col min="10083" max="10242" width="9.28515625" style="57"/>
    <col min="10243" max="10243" width="4.5703125" style="57" bestFit="1" customWidth="1"/>
    <col min="10244" max="10244" width="32.28515625" style="57" customWidth="1"/>
    <col min="10245" max="10251" width="12.5703125" style="57" customWidth="1"/>
    <col min="10252" max="10252" width="14.42578125" style="57" customWidth="1"/>
    <col min="10253" max="10253" width="12.5703125" style="57" customWidth="1"/>
    <col min="10254" max="10254" width="13.7109375" style="57" customWidth="1"/>
    <col min="10255" max="10257" width="10" style="57" customWidth="1"/>
    <col min="10258" max="10259" width="10.5703125" style="57" customWidth="1"/>
    <col min="10260" max="10261" width="11.7109375" style="57" customWidth="1"/>
    <col min="10262" max="10264" width="8.5703125" style="57" customWidth="1"/>
    <col min="10265" max="10265" width="9.42578125" style="57" customWidth="1"/>
    <col min="10266" max="10267" width="13.28515625" style="57" customWidth="1"/>
    <col min="10268" max="10269" width="0" style="57" hidden="1" customWidth="1"/>
    <col min="10270" max="10271" width="7.5703125" style="57" customWidth="1"/>
    <col min="10272" max="10272" width="8.7109375" style="57" customWidth="1"/>
    <col min="10273" max="10273" width="11.28515625" style="57" customWidth="1"/>
    <col min="10274" max="10274" width="11.7109375" style="57" customWidth="1"/>
    <col min="10275" max="10275" width="13.5703125" style="57" customWidth="1"/>
    <col min="10276" max="10276" width="10.5703125" style="57" customWidth="1"/>
    <col min="10277" max="10277" width="11.7109375" style="57" customWidth="1"/>
    <col min="10278" max="10278" width="11" style="57" customWidth="1"/>
    <col min="10279" max="10279" width="9.7109375" style="57" customWidth="1"/>
    <col min="10280" max="10281" width="0" style="57" hidden="1" customWidth="1"/>
    <col min="10282" max="10282" width="10.42578125" style="57" customWidth="1"/>
    <col min="10283" max="10318" width="6.5703125" style="57" customWidth="1"/>
    <col min="10319" max="10319" width="8.28515625" style="57" customWidth="1"/>
    <col min="10320" max="10323" width="8.42578125" style="57" customWidth="1"/>
    <col min="10324" max="10324" width="7.5703125" style="57" customWidth="1"/>
    <col min="10325" max="10326" width="9.28515625" style="57"/>
    <col min="10327" max="10327" width="54.42578125" style="57" customWidth="1"/>
    <col min="10328" max="10329" width="9.28515625" style="57" bestFit="1" customWidth="1"/>
    <col min="10330" max="10330" width="11" style="57" bestFit="1" customWidth="1"/>
    <col min="10331" max="10331" width="9.28515625" style="57" bestFit="1" customWidth="1"/>
    <col min="10332" max="10332" width="9.28515625" style="57"/>
    <col min="10333" max="10333" width="47.28515625" style="57" customWidth="1"/>
    <col min="10334" max="10335" width="9.28515625" style="57" bestFit="1" customWidth="1"/>
    <col min="10336" max="10336" width="11" style="57" bestFit="1" customWidth="1"/>
    <col min="10337" max="10337" width="9.28515625" style="57"/>
    <col min="10338" max="10338" width="11" style="57" bestFit="1" customWidth="1"/>
    <col min="10339" max="10498" width="9.28515625" style="57"/>
    <col min="10499" max="10499" width="4.5703125" style="57" bestFit="1" customWidth="1"/>
    <col min="10500" max="10500" width="32.28515625" style="57" customWidth="1"/>
    <col min="10501" max="10507" width="12.5703125" style="57" customWidth="1"/>
    <col min="10508" max="10508" width="14.42578125" style="57" customWidth="1"/>
    <col min="10509" max="10509" width="12.5703125" style="57" customWidth="1"/>
    <col min="10510" max="10510" width="13.7109375" style="57" customWidth="1"/>
    <col min="10511" max="10513" width="10" style="57" customWidth="1"/>
    <col min="10514" max="10515" width="10.5703125" style="57" customWidth="1"/>
    <col min="10516" max="10517" width="11.7109375" style="57" customWidth="1"/>
    <col min="10518" max="10520" width="8.5703125" style="57" customWidth="1"/>
    <col min="10521" max="10521" width="9.42578125" style="57" customWidth="1"/>
    <col min="10522" max="10523" width="13.28515625" style="57" customWidth="1"/>
    <col min="10524" max="10525" width="0" style="57" hidden="1" customWidth="1"/>
    <col min="10526" max="10527" width="7.5703125" style="57" customWidth="1"/>
    <col min="10528" max="10528" width="8.7109375" style="57" customWidth="1"/>
    <col min="10529" max="10529" width="11.28515625" style="57" customWidth="1"/>
    <col min="10530" max="10530" width="11.7109375" style="57" customWidth="1"/>
    <col min="10531" max="10531" width="13.5703125" style="57" customWidth="1"/>
    <col min="10532" max="10532" width="10.5703125" style="57" customWidth="1"/>
    <col min="10533" max="10533" width="11.7109375" style="57" customWidth="1"/>
    <col min="10534" max="10534" width="11" style="57" customWidth="1"/>
    <col min="10535" max="10535" width="9.7109375" style="57" customWidth="1"/>
    <col min="10536" max="10537" width="0" style="57" hidden="1" customWidth="1"/>
    <col min="10538" max="10538" width="10.42578125" style="57" customWidth="1"/>
    <col min="10539" max="10574" width="6.5703125" style="57" customWidth="1"/>
    <col min="10575" max="10575" width="8.28515625" style="57" customWidth="1"/>
    <col min="10576" max="10579" width="8.42578125" style="57" customWidth="1"/>
    <col min="10580" max="10580" width="7.5703125" style="57" customWidth="1"/>
    <col min="10581" max="10582" width="9.28515625" style="57"/>
    <col min="10583" max="10583" width="54.42578125" style="57" customWidth="1"/>
    <col min="10584" max="10585" width="9.28515625" style="57" bestFit="1" customWidth="1"/>
    <col min="10586" max="10586" width="11" style="57" bestFit="1" customWidth="1"/>
    <col min="10587" max="10587" width="9.28515625" style="57" bestFit="1" customWidth="1"/>
    <col min="10588" max="10588" width="9.28515625" style="57"/>
    <col min="10589" max="10589" width="47.28515625" style="57" customWidth="1"/>
    <col min="10590" max="10591" width="9.28515625" style="57" bestFit="1" customWidth="1"/>
    <col min="10592" max="10592" width="11" style="57" bestFit="1" customWidth="1"/>
    <col min="10593" max="10593" width="9.28515625" style="57"/>
    <col min="10594" max="10594" width="11" style="57" bestFit="1" customWidth="1"/>
    <col min="10595" max="10754" width="9.28515625" style="57"/>
    <col min="10755" max="10755" width="4.5703125" style="57" bestFit="1" customWidth="1"/>
    <col min="10756" max="10756" width="32.28515625" style="57" customWidth="1"/>
    <col min="10757" max="10763" width="12.5703125" style="57" customWidth="1"/>
    <col min="10764" max="10764" width="14.42578125" style="57" customWidth="1"/>
    <col min="10765" max="10765" width="12.5703125" style="57" customWidth="1"/>
    <col min="10766" max="10766" width="13.7109375" style="57" customWidth="1"/>
    <col min="10767" max="10769" width="10" style="57" customWidth="1"/>
    <col min="10770" max="10771" width="10.5703125" style="57" customWidth="1"/>
    <col min="10772" max="10773" width="11.7109375" style="57" customWidth="1"/>
    <col min="10774" max="10776" width="8.5703125" style="57" customWidth="1"/>
    <col min="10777" max="10777" width="9.42578125" style="57" customWidth="1"/>
    <col min="10778" max="10779" width="13.28515625" style="57" customWidth="1"/>
    <col min="10780" max="10781" width="0" style="57" hidden="1" customWidth="1"/>
    <col min="10782" max="10783" width="7.5703125" style="57" customWidth="1"/>
    <col min="10784" max="10784" width="8.7109375" style="57" customWidth="1"/>
    <col min="10785" max="10785" width="11.28515625" style="57" customWidth="1"/>
    <col min="10786" max="10786" width="11.7109375" style="57" customWidth="1"/>
    <col min="10787" max="10787" width="13.5703125" style="57" customWidth="1"/>
    <col min="10788" max="10788" width="10.5703125" style="57" customWidth="1"/>
    <col min="10789" max="10789" width="11.7109375" style="57" customWidth="1"/>
    <col min="10790" max="10790" width="11" style="57" customWidth="1"/>
    <col min="10791" max="10791" width="9.7109375" style="57" customWidth="1"/>
    <col min="10792" max="10793" width="0" style="57" hidden="1" customWidth="1"/>
    <col min="10794" max="10794" width="10.42578125" style="57" customWidth="1"/>
    <col min="10795" max="10830" width="6.5703125" style="57" customWidth="1"/>
    <col min="10831" max="10831" width="8.28515625" style="57" customWidth="1"/>
    <col min="10832" max="10835" width="8.42578125" style="57" customWidth="1"/>
    <col min="10836" max="10836" width="7.5703125" style="57" customWidth="1"/>
    <col min="10837" max="10838" width="9.28515625" style="57"/>
    <col min="10839" max="10839" width="54.42578125" style="57" customWidth="1"/>
    <col min="10840" max="10841" width="9.28515625" style="57" bestFit="1" customWidth="1"/>
    <col min="10842" max="10842" width="11" style="57" bestFit="1" customWidth="1"/>
    <col min="10843" max="10843" width="9.28515625" style="57" bestFit="1" customWidth="1"/>
    <col min="10844" max="10844" width="9.28515625" style="57"/>
    <col min="10845" max="10845" width="47.28515625" style="57" customWidth="1"/>
    <col min="10846" max="10847" width="9.28515625" style="57" bestFit="1" customWidth="1"/>
    <col min="10848" max="10848" width="11" style="57" bestFit="1" customWidth="1"/>
    <col min="10849" max="10849" width="9.28515625" style="57"/>
    <col min="10850" max="10850" width="11" style="57" bestFit="1" customWidth="1"/>
    <col min="10851" max="11010" width="9.28515625" style="57"/>
    <col min="11011" max="11011" width="4.5703125" style="57" bestFit="1" customWidth="1"/>
    <col min="11012" max="11012" width="32.28515625" style="57" customWidth="1"/>
    <col min="11013" max="11019" width="12.5703125" style="57" customWidth="1"/>
    <col min="11020" max="11020" width="14.42578125" style="57" customWidth="1"/>
    <col min="11021" max="11021" width="12.5703125" style="57" customWidth="1"/>
    <col min="11022" max="11022" width="13.7109375" style="57" customWidth="1"/>
    <col min="11023" max="11025" width="10" style="57" customWidth="1"/>
    <col min="11026" max="11027" width="10.5703125" style="57" customWidth="1"/>
    <col min="11028" max="11029" width="11.7109375" style="57" customWidth="1"/>
    <col min="11030" max="11032" width="8.5703125" style="57" customWidth="1"/>
    <col min="11033" max="11033" width="9.42578125" style="57" customWidth="1"/>
    <col min="11034" max="11035" width="13.28515625" style="57" customWidth="1"/>
    <col min="11036" max="11037" width="0" style="57" hidden="1" customWidth="1"/>
    <col min="11038" max="11039" width="7.5703125" style="57" customWidth="1"/>
    <col min="11040" max="11040" width="8.7109375" style="57" customWidth="1"/>
    <col min="11041" max="11041" width="11.28515625" style="57" customWidth="1"/>
    <col min="11042" max="11042" width="11.7109375" style="57" customWidth="1"/>
    <col min="11043" max="11043" width="13.5703125" style="57" customWidth="1"/>
    <col min="11044" max="11044" width="10.5703125" style="57" customWidth="1"/>
    <col min="11045" max="11045" width="11.7109375" style="57" customWidth="1"/>
    <col min="11046" max="11046" width="11" style="57" customWidth="1"/>
    <col min="11047" max="11047" width="9.7109375" style="57" customWidth="1"/>
    <col min="11048" max="11049" width="0" style="57" hidden="1" customWidth="1"/>
    <col min="11050" max="11050" width="10.42578125" style="57" customWidth="1"/>
    <col min="11051" max="11086" width="6.5703125" style="57" customWidth="1"/>
    <col min="11087" max="11087" width="8.28515625" style="57" customWidth="1"/>
    <col min="11088" max="11091" width="8.42578125" style="57" customWidth="1"/>
    <col min="11092" max="11092" width="7.5703125" style="57" customWidth="1"/>
    <col min="11093" max="11094" width="9.28515625" style="57"/>
    <col min="11095" max="11095" width="54.42578125" style="57" customWidth="1"/>
    <col min="11096" max="11097" width="9.28515625" style="57" bestFit="1" customWidth="1"/>
    <col min="11098" max="11098" width="11" style="57" bestFit="1" customWidth="1"/>
    <col min="11099" max="11099" width="9.28515625" style="57" bestFit="1" customWidth="1"/>
    <col min="11100" max="11100" width="9.28515625" style="57"/>
    <col min="11101" max="11101" width="47.28515625" style="57" customWidth="1"/>
    <col min="11102" max="11103" width="9.28515625" style="57" bestFit="1" customWidth="1"/>
    <col min="11104" max="11104" width="11" style="57" bestFit="1" customWidth="1"/>
    <col min="11105" max="11105" width="9.28515625" style="57"/>
    <col min="11106" max="11106" width="11" style="57" bestFit="1" customWidth="1"/>
    <col min="11107" max="11266" width="9.28515625" style="57"/>
    <col min="11267" max="11267" width="4.5703125" style="57" bestFit="1" customWidth="1"/>
    <col min="11268" max="11268" width="32.28515625" style="57" customWidth="1"/>
    <col min="11269" max="11275" width="12.5703125" style="57" customWidth="1"/>
    <col min="11276" max="11276" width="14.42578125" style="57" customWidth="1"/>
    <col min="11277" max="11277" width="12.5703125" style="57" customWidth="1"/>
    <col min="11278" max="11278" width="13.7109375" style="57" customWidth="1"/>
    <col min="11279" max="11281" width="10" style="57" customWidth="1"/>
    <col min="11282" max="11283" width="10.5703125" style="57" customWidth="1"/>
    <col min="11284" max="11285" width="11.7109375" style="57" customWidth="1"/>
    <col min="11286" max="11288" width="8.5703125" style="57" customWidth="1"/>
    <col min="11289" max="11289" width="9.42578125" style="57" customWidth="1"/>
    <col min="11290" max="11291" width="13.28515625" style="57" customWidth="1"/>
    <col min="11292" max="11293" width="0" style="57" hidden="1" customWidth="1"/>
    <col min="11294" max="11295" width="7.5703125" style="57" customWidth="1"/>
    <col min="11296" max="11296" width="8.7109375" style="57" customWidth="1"/>
    <col min="11297" max="11297" width="11.28515625" style="57" customWidth="1"/>
    <col min="11298" max="11298" width="11.7109375" style="57" customWidth="1"/>
    <col min="11299" max="11299" width="13.5703125" style="57" customWidth="1"/>
    <col min="11300" max="11300" width="10.5703125" style="57" customWidth="1"/>
    <col min="11301" max="11301" width="11.7109375" style="57" customWidth="1"/>
    <col min="11302" max="11302" width="11" style="57" customWidth="1"/>
    <col min="11303" max="11303" width="9.7109375" style="57" customWidth="1"/>
    <col min="11304" max="11305" width="0" style="57" hidden="1" customWidth="1"/>
    <col min="11306" max="11306" width="10.42578125" style="57" customWidth="1"/>
    <col min="11307" max="11342" width="6.5703125" style="57" customWidth="1"/>
    <col min="11343" max="11343" width="8.28515625" style="57" customWidth="1"/>
    <col min="11344" max="11347" width="8.42578125" style="57" customWidth="1"/>
    <col min="11348" max="11348" width="7.5703125" style="57" customWidth="1"/>
    <col min="11349" max="11350" width="9.28515625" style="57"/>
    <col min="11351" max="11351" width="54.42578125" style="57" customWidth="1"/>
    <col min="11352" max="11353" width="9.28515625" style="57" bestFit="1" customWidth="1"/>
    <col min="11354" max="11354" width="11" style="57" bestFit="1" customWidth="1"/>
    <col min="11355" max="11355" width="9.28515625" style="57" bestFit="1" customWidth="1"/>
    <col min="11356" max="11356" width="9.28515625" style="57"/>
    <col min="11357" max="11357" width="47.28515625" style="57" customWidth="1"/>
    <col min="11358" max="11359" width="9.28515625" style="57" bestFit="1" customWidth="1"/>
    <col min="11360" max="11360" width="11" style="57" bestFit="1" customWidth="1"/>
    <col min="11361" max="11361" width="9.28515625" style="57"/>
    <col min="11362" max="11362" width="11" style="57" bestFit="1" customWidth="1"/>
    <col min="11363" max="11522" width="9.28515625" style="57"/>
    <col min="11523" max="11523" width="4.5703125" style="57" bestFit="1" customWidth="1"/>
    <col min="11524" max="11524" width="32.28515625" style="57" customWidth="1"/>
    <col min="11525" max="11531" width="12.5703125" style="57" customWidth="1"/>
    <col min="11532" max="11532" width="14.42578125" style="57" customWidth="1"/>
    <col min="11533" max="11533" width="12.5703125" style="57" customWidth="1"/>
    <col min="11534" max="11534" width="13.7109375" style="57" customWidth="1"/>
    <col min="11535" max="11537" width="10" style="57" customWidth="1"/>
    <col min="11538" max="11539" width="10.5703125" style="57" customWidth="1"/>
    <col min="11540" max="11541" width="11.7109375" style="57" customWidth="1"/>
    <col min="11542" max="11544" width="8.5703125" style="57" customWidth="1"/>
    <col min="11545" max="11545" width="9.42578125" style="57" customWidth="1"/>
    <col min="11546" max="11547" width="13.28515625" style="57" customWidth="1"/>
    <col min="11548" max="11549" width="0" style="57" hidden="1" customWidth="1"/>
    <col min="11550" max="11551" width="7.5703125" style="57" customWidth="1"/>
    <col min="11552" max="11552" width="8.7109375" style="57" customWidth="1"/>
    <col min="11553" max="11553" width="11.28515625" style="57" customWidth="1"/>
    <col min="11554" max="11554" width="11.7109375" style="57" customWidth="1"/>
    <col min="11555" max="11555" width="13.5703125" style="57" customWidth="1"/>
    <col min="11556" max="11556" width="10.5703125" style="57" customWidth="1"/>
    <col min="11557" max="11557" width="11.7109375" style="57" customWidth="1"/>
    <col min="11558" max="11558" width="11" style="57" customWidth="1"/>
    <col min="11559" max="11559" width="9.7109375" style="57" customWidth="1"/>
    <col min="11560" max="11561" width="0" style="57" hidden="1" customWidth="1"/>
    <col min="11562" max="11562" width="10.42578125" style="57" customWidth="1"/>
    <col min="11563" max="11598" width="6.5703125" style="57" customWidth="1"/>
    <col min="11599" max="11599" width="8.28515625" style="57" customWidth="1"/>
    <col min="11600" max="11603" width="8.42578125" style="57" customWidth="1"/>
    <col min="11604" max="11604" width="7.5703125" style="57" customWidth="1"/>
    <col min="11605" max="11606" width="9.28515625" style="57"/>
    <col min="11607" max="11607" width="54.42578125" style="57" customWidth="1"/>
    <col min="11608" max="11609" width="9.28515625" style="57" bestFit="1" customWidth="1"/>
    <col min="11610" max="11610" width="11" style="57" bestFit="1" customWidth="1"/>
    <col min="11611" max="11611" width="9.28515625" style="57" bestFit="1" customWidth="1"/>
    <col min="11612" max="11612" width="9.28515625" style="57"/>
    <col min="11613" max="11613" width="47.28515625" style="57" customWidth="1"/>
    <col min="11614" max="11615" width="9.28515625" style="57" bestFit="1" customWidth="1"/>
    <col min="11616" max="11616" width="11" style="57" bestFit="1" customWidth="1"/>
    <col min="11617" max="11617" width="9.28515625" style="57"/>
    <col min="11618" max="11618" width="11" style="57" bestFit="1" customWidth="1"/>
    <col min="11619" max="11778" width="9.28515625" style="57"/>
    <col min="11779" max="11779" width="4.5703125" style="57" bestFit="1" customWidth="1"/>
    <col min="11780" max="11780" width="32.28515625" style="57" customWidth="1"/>
    <col min="11781" max="11787" width="12.5703125" style="57" customWidth="1"/>
    <col min="11788" max="11788" width="14.42578125" style="57" customWidth="1"/>
    <col min="11789" max="11789" width="12.5703125" style="57" customWidth="1"/>
    <col min="11790" max="11790" width="13.7109375" style="57" customWidth="1"/>
    <col min="11791" max="11793" width="10" style="57" customWidth="1"/>
    <col min="11794" max="11795" width="10.5703125" style="57" customWidth="1"/>
    <col min="11796" max="11797" width="11.7109375" style="57" customWidth="1"/>
    <col min="11798" max="11800" width="8.5703125" style="57" customWidth="1"/>
    <col min="11801" max="11801" width="9.42578125" style="57" customWidth="1"/>
    <col min="11802" max="11803" width="13.28515625" style="57" customWidth="1"/>
    <col min="11804" max="11805" width="0" style="57" hidden="1" customWidth="1"/>
    <col min="11806" max="11807" width="7.5703125" style="57" customWidth="1"/>
    <col min="11808" max="11808" width="8.7109375" style="57" customWidth="1"/>
    <col min="11809" max="11809" width="11.28515625" style="57" customWidth="1"/>
    <col min="11810" max="11810" width="11.7109375" style="57" customWidth="1"/>
    <col min="11811" max="11811" width="13.5703125" style="57" customWidth="1"/>
    <col min="11812" max="11812" width="10.5703125" style="57" customWidth="1"/>
    <col min="11813" max="11813" width="11.7109375" style="57" customWidth="1"/>
    <col min="11814" max="11814" width="11" style="57" customWidth="1"/>
    <col min="11815" max="11815" width="9.7109375" style="57" customWidth="1"/>
    <col min="11816" max="11817" width="0" style="57" hidden="1" customWidth="1"/>
    <col min="11818" max="11818" width="10.42578125" style="57" customWidth="1"/>
    <col min="11819" max="11854" width="6.5703125" style="57" customWidth="1"/>
    <col min="11855" max="11855" width="8.28515625" style="57" customWidth="1"/>
    <col min="11856" max="11859" width="8.42578125" style="57" customWidth="1"/>
    <col min="11860" max="11860" width="7.5703125" style="57" customWidth="1"/>
    <col min="11861" max="11862" width="9.28515625" style="57"/>
    <col min="11863" max="11863" width="54.42578125" style="57" customWidth="1"/>
    <col min="11864" max="11865" width="9.28515625" style="57" bestFit="1" customWidth="1"/>
    <col min="11866" max="11866" width="11" style="57" bestFit="1" customWidth="1"/>
    <col min="11867" max="11867" width="9.28515625" style="57" bestFit="1" customWidth="1"/>
    <col min="11868" max="11868" width="9.28515625" style="57"/>
    <col min="11869" max="11869" width="47.28515625" style="57" customWidth="1"/>
    <col min="11870" max="11871" width="9.28515625" style="57" bestFit="1" customWidth="1"/>
    <col min="11872" max="11872" width="11" style="57" bestFit="1" customWidth="1"/>
    <col min="11873" max="11873" width="9.28515625" style="57"/>
    <col min="11874" max="11874" width="11" style="57" bestFit="1" customWidth="1"/>
    <col min="11875" max="12034" width="9.28515625" style="57"/>
    <col min="12035" max="12035" width="4.5703125" style="57" bestFit="1" customWidth="1"/>
    <col min="12036" max="12036" width="32.28515625" style="57" customWidth="1"/>
    <col min="12037" max="12043" width="12.5703125" style="57" customWidth="1"/>
    <col min="12044" max="12044" width="14.42578125" style="57" customWidth="1"/>
    <col min="12045" max="12045" width="12.5703125" style="57" customWidth="1"/>
    <col min="12046" max="12046" width="13.7109375" style="57" customWidth="1"/>
    <col min="12047" max="12049" width="10" style="57" customWidth="1"/>
    <col min="12050" max="12051" width="10.5703125" style="57" customWidth="1"/>
    <col min="12052" max="12053" width="11.7109375" style="57" customWidth="1"/>
    <col min="12054" max="12056" width="8.5703125" style="57" customWidth="1"/>
    <col min="12057" max="12057" width="9.42578125" style="57" customWidth="1"/>
    <col min="12058" max="12059" width="13.28515625" style="57" customWidth="1"/>
    <col min="12060" max="12061" width="0" style="57" hidden="1" customWidth="1"/>
    <col min="12062" max="12063" width="7.5703125" style="57" customWidth="1"/>
    <col min="12064" max="12064" width="8.7109375" style="57" customWidth="1"/>
    <col min="12065" max="12065" width="11.28515625" style="57" customWidth="1"/>
    <col min="12066" max="12066" width="11.7109375" style="57" customWidth="1"/>
    <col min="12067" max="12067" width="13.5703125" style="57" customWidth="1"/>
    <col min="12068" max="12068" width="10.5703125" style="57" customWidth="1"/>
    <col min="12069" max="12069" width="11.7109375" style="57" customWidth="1"/>
    <col min="12070" max="12070" width="11" style="57" customWidth="1"/>
    <col min="12071" max="12071" width="9.7109375" style="57" customWidth="1"/>
    <col min="12072" max="12073" width="0" style="57" hidden="1" customWidth="1"/>
    <col min="12074" max="12074" width="10.42578125" style="57" customWidth="1"/>
    <col min="12075" max="12110" width="6.5703125" style="57" customWidth="1"/>
    <col min="12111" max="12111" width="8.28515625" style="57" customWidth="1"/>
    <col min="12112" max="12115" width="8.42578125" style="57" customWidth="1"/>
    <col min="12116" max="12116" width="7.5703125" style="57" customWidth="1"/>
    <col min="12117" max="12118" width="9.28515625" style="57"/>
    <col min="12119" max="12119" width="54.42578125" style="57" customWidth="1"/>
    <col min="12120" max="12121" width="9.28515625" style="57" bestFit="1" customWidth="1"/>
    <col min="12122" max="12122" width="11" style="57" bestFit="1" customWidth="1"/>
    <col min="12123" max="12123" width="9.28515625" style="57" bestFit="1" customWidth="1"/>
    <col min="12124" max="12124" width="9.28515625" style="57"/>
    <col min="12125" max="12125" width="47.28515625" style="57" customWidth="1"/>
    <col min="12126" max="12127" width="9.28515625" style="57" bestFit="1" customWidth="1"/>
    <col min="12128" max="12128" width="11" style="57" bestFit="1" customWidth="1"/>
    <col min="12129" max="12129" width="9.28515625" style="57"/>
    <col min="12130" max="12130" width="11" style="57" bestFit="1" customWidth="1"/>
    <col min="12131" max="12290" width="9.28515625" style="57"/>
    <col min="12291" max="12291" width="4.5703125" style="57" bestFit="1" customWidth="1"/>
    <col min="12292" max="12292" width="32.28515625" style="57" customWidth="1"/>
    <col min="12293" max="12299" width="12.5703125" style="57" customWidth="1"/>
    <col min="12300" max="12300" width="14.42578125" style="57" customWidth="1"/>
    <col min="12301" max="12301" width="12.5703125" style="57" customWidth="1"/>
    <col min="12302" max="12302" width="13.7109375" style="57" customWidth="1"/>
    <col min="12303" max="12305" width="10" style="57" customWidth="1"/>
    <col min="12306" max="12307" width="10.5703125" style="57" customWidth="1"/>
    <col min="12308" max="12309" width="11.7109375" style="57" customWidth="1"/>
    <col min="12310" max="12312" width="8.5703125" style="57" customWidth="1"/>
    <col min="12313" max="12313" width="9.42578125" style="57" customWidth="1"/>
    <col min="12314" max="12315" width="13.28515625" style="57" customWidth="1"/>
    <col min="12316" max="12317" width="0" style="57" hidden="1" customWidth="1"/>
    <col min="12318" max="12319" width="7.5703125" style="57" customWidth="1"/>
    <col min="12320" max="12320" width="8.7109375" style="57" customWidth="1"/>
    <col min="12321" max="12321" width="11.28515625" style="57" customWidth="1"/>
    <col min="12322" max="12322" width="11.7109375" style="57" customWidth="1"/>
    <col min="12323" max="12323" width="13.5703125" style="57" customWidth="1"/>
    <col min="12324" max="12324" width="10.5703125" style="57" customWidth="1"/>
    <col min="12325" max="12325" width="11.7109375" style="57" customWidth="1"/>
    <col min="12326" max="12326" width="11" style="57" customWidth="1"/>
    <col min="12327" max="12327" width="9.7109375" style="57" customWidth="1"/>
    <col min="12328" max="12329" width="0" style="57" hidden="1" customWidth="1"/>
    <col min="12330" max="12330" width="10.42578125" style="57" customWidth="1"/>
    <col min="12331" max="12366" width="6.5703125" style="57" customWidth="1"/>
    <col min="12367" max="12367" width="8.28515625" style="57" customWidth="1"/>
    <col min="12368" max="12371" width="8.42578125" style="57" customWidth="1"/>
    <col min="12372" max="12372" width="7.5703125" style="57" customWidth="1"/>
    <col min="12373" max="12374" width="9.28515625" style="57"/>
    <col min="12375" max="12375" width="54.42578125" style="57" customWidth="1"/>
    <col min="12376" max="12377" width="9.28515625" style="57" bestFit="1" customWidth="1"/>
    <col min="12378" max="12378" width="11" style="57" bestFit="1" customWidth="1"/>
    <col min="12379" max="12379" width="9.28515625" style="57" bestFit="1" customWidth="1"/>
    <col min="12380" max="12380" width="9.28515625" style="57"/>
    <col min="12381" max="12381" width="47.28515625" style="57" customWidth="1"/>
    <col min="12382" max="12383" width="9.28515625" style="57" bestFit="1" customWidth="1"/>
    <col min="12384" max="12384" width="11" style="57" bestFit="1" customWidth="1"/>
    <col min="12385" max="12385" width="9.28515625" style="57"/>
    <col min="12386" max="12386" width="11" style="57" bestFit="1" customWidth="1"/>
    <col min="12387" max="12546" width="9.28515625" style="57"/>
    <col min="12547" max="12547" width="4.5703125" style="57" bestFit="1" customWidth="1"/>
    <col min="12548" max="12548" width="32.28515625" style="57" customWidth="1"/>
    <col min="12549" max="12555" width="12.5703125" style="57" customWidth="1"/>
    <col min="12556" max="12556" width="14.42578125" style="57" customWidth="1"/>
    <col min="12557" max="12557" width="12.5703125" style="57" customWidth="1"/>
    <col min="12558" max="12558" width="13.7109375" style="57" customWidth="1"/>
    <col min="12559" max="12561" width="10" style="57" customWidth="1"/>
    <col min="12562" max="12563" width="10.5703125" style="57" customWidth="1"/>
    <col min="12564" max="12565" width="11.7109375" style="57" customWidth="1"/>
    <col min="12566" max="12568" width="8.5703125" style="57" customWidth="1"/>
    <col min="12569" max="12569" width="9.42578125" style="57" customWidth="1"/>
    <col min="12570" max="12571" width="13.28515625" style="57" customWidth="1"/>
    <col min="12572" max="12573" width="0" style="57" hidden="1" customWidth="1"/>
    <col min="12574" max="12575" width="7.5703125" style="57" customWidth="1"/>
    <col min="12576" max="12576" width="8.7109375" style="57" customWidth="1"/>
    <col min="12577" max="12577" width="11.28515625" style="57" customWidth="1"/>
    <col min="12578" max="12578" width="11.7109375" style="57" customWidth="1"/>
    <col min="12579" max="12579" width="13.5703125" style="57" customWidth="1"/>
    <col min="12580" max="12580" width="10.5703125" style="57" customWidth="1"/>
    <col min="12581" max="12581" width="11.7109375" style="57" customWidth="1"/>
    <col min="12582" max="12582" width="11" style="57" customWidth="1"/>
    <col min="12583" max="12583" width="9.7109375" style="57" customWidth="1"/>
    <col min="12584" max="12585" width="0" style="57" hidden="1" customWidth="1"/>
    <col min="12586" max="12586" width="10.42578125" style="57" customWidth="1"/>
    <col min="12587" max="12622" width="6.5703125" style="57" customWidth="1"/>
    <col min="12623" max="12623" width="8.28515625" style="57" customWidth="1"/>
    <col min="12624" max="12627" width="8.42578125" style="57" customWidth="1"/>
    <col min="12628" max="12628" width="7.5703125" style="57" customWidth="1"/>
    <col min="12629" max="12630" width="9.28515625" style="57"/>
    <col min="12631" max="12631" width="54.42578125" style="57" customWidth="1"/>
    <col min="12632" max="12633" width="9.28515625" style="57" bestFit="1" customWidth="1"/>
    <col min="12634" max="12634" width="11" style="57" bestFit="1" customWidth="1"/>
    <col min="12635" max="12635" width="9.28515625" style="57" bestFit="1" customWidth="1"/>
    <col min="12636" max="12636" width="9.28515625" style="57"/>
    <col min="12637" max="12637" width="47.28515625" style="57" customWidth="1"/>
    <col min="12638" max="12639" width="9.28515625" style="57" bestFit="1" customWidth="1"/>
    <col min="12640" max="12640" width="11" style="57" bestFit="1" customWidth="1"/>
    <col min="12641" max="12641" width="9.28515625" style="57"/>
    <col min="12642" max="12642" width="11" style="57" bestFit="1" customWidth="1"/>
    <col min="12643" max="12802" width="9.28515625" style="57"/>
    <col min="12803" max="12803" width="4.5703125" style="57" bestFit="1" customWidth="1"/>
    <col min="12804" max="12804" width="32.28515625" style="57" customWidth="1"/>
    <col min="12805" max="12811" width="12.5703125" style="57" customWidth="1"/>
    <col min="12812" max="12812" width="14.42578125" style="57" customWidth="1"/>
    <col min="12813" max="12813" width="12.5703125" style="57" customWidth="1"/>
    <col min="12814" max="12814" width="13.7109375" style="57" customWidth="1"/>
    <col min="12815" max="12817" width="10" style="57" customWidth="1"/>
    <col min="12818" max="12819" width="10.5703125" style="57" customWidth="1"/>
    <col min="12820" max="12821" width="11.7109375" style="57" customWidth="1"/>
    <col min="12822" max="12824" width="8.5703125" style="57" customWidth="1"/>
    <col min="12825" max="12825" width="9.42578125" style="57" customWidth="1"/>
    <col min="12826" max="12827" width="13.28515625" style="57" customWidth="1"/>
    <col min="12828" max="12829" width="0" style="57" hidden="1" customWidth="1"/>
    <col min="12830" max="12831" width="7.5703125" style="57" customWidth="1"/>
    <col min="12832" max="12832" width="8.7109375" style="57" customWidth="1"/>
    <col min="12833" max="12833" width="11.28515625" style="57" customWidth="1"/>
    <col min="12834" max="12834" width="11.7109375" style="57" customWidth="1"/>
    <col min="12835" max="12835" width="13.5703125" style="57" customWidth="1"/>
    <col min="12836" max="12836" width="10.5703125" style="57" customWidth="1"/>
    <col min="12837" max="12837" width="11.7109375" style="57" customWidth="1"/>
    <col min="12838" max="12838" width="11" style="57" customWidth="1"/>
    <col min="12839" max="12839" width="9.7109375" style="57" customWidth="1"/>
    <col min="12840" max="12841" width="0" style="57" hidden="1" customWidth="1"/>
    <col min="12842" max="12842" width="10.42578125" style="57" customWidth="1"/>
    <col min="12843" max="12878" width="6.5703125" style="57" customWidth="1"/>
    <col min="12879" max="12879" width="8.28515625" style="57" customWidth="1"/>
    <col min="12880" max="12883" width="8.42578125" style="57" customWidth="1"/>
    <col min="12884" max="12884" width="7.5703125" style="57" customWidth="1"/>
    <col min="12885" max="12886" width="9.28515625" style="57"/>
    <col min="12887" max="12887" width="54.42578125" style="57" customWidth="1"/>
    <col min="12888" max="12889" width="9.28515625" style="57" bestFit="1" customWidth="1"/>
    <col min="12890" max="12890" width="11" style="57" bestFit="1" customWidth="1"/>
    <col min="12891" max="12891" width="9.28515625" style="57" bestFit="1" customWidth="1"/>
    <col min="12892" max="12892" width="9.28515625" style="57"/>
    <col min="12893" max="12893" width="47.28515625" style="57" customWidth="1"/>
    <col min="12894" max="12895" width="9.28515625" style="57" bestFit="1" customWidth="1"/>
    <col min="12896" max="12896" width="11" style="57" bestFit="1" customWidth="1"/>
    <col min="12897" max="12897" width="9.28515625" style="57"/>
    <col min="12898" max="12898" width="11" style="57" bestFit="1" customWidth="1"/>
    <col min="12899" max="13058" width="9.28515625" style="57"/>
    <col min="13059" max="13059" width="4.5703125" style="57" bestFit="1" customWidth="1"/>
    <col min="13060" max="13060" width="32.28515625" style="57" customWidth="1"/>
    <col min="13061" max="13067" width="12.5703125" style="57" customWidth="1"/>
    <col min="13068" max="13068" width="14.42578125" style="57" customWidth="1"/>
    <col min="13069" max="13069" width="12.5703125" style="57" customWidth="1"/>
    <col min="13070" max="13070" width="13.7109375" style="57" customWidth="1"/>
    <col min="13071" max="13073" width="10" style="57" customWidth="1"/>
    <col min="13074" max="13075" width="10.5703125" style="57" customWidth="1"/>
    <col min="13076" max="13077" width="11.7109375" style="57" customWidth="1"/>
    <col min="13078" max="13080" width="8.5703125" style="57" customWidth="1"/>
    <col min="13081" max="13081" width="9.42578125" style="57" customWidth="1"/>
    <col min="13082" max="13083" width="13.28515625" style="57" customWidth="1"/>
    <col min="13084" max="13085" width="0" style="57" hidden="1" customWidth="1"/>
    <col min="13086" max="13087" width="7.5703125" style="57" customWidth="1"/>
    <col min="13088" max="13088" width="8.7109375" style="57" customWidth="1"/>
    <col min="13089" max="13089" width="11.28515625" style="57" customWidth="1"/>
    <col min="13090" max="13090" width="11.7109375" style="57" customWidth="1"/>
    <col min="13091" max="13091" width="13.5703125" style="57" customWidth="1"/>
    <col min="13092" max="13092" width="10.5703125" style="57" customWidth="1"/>
    <col min="13093" max="13093" width="11.7109375" style="57" customWidth="1"/>
    <col min="13094" max="13094" width="11" style="57" customWidth="1"/>
    <col min="13095" max="13095" width="9.7109375" style="57" customWidth="1"/>
    <col min="13096" max="13097" width="0" style="57" hidden="1" customWidth="1"/>
    <col min="13098" max="13098" width="10.42578125" style="57" customWidth="1"/>
    <col min="13099" max="13134" width="6.5703125" style="57" customWidth="1"/>
    <col min="13135" max="13135" width="8.28515625" style="57" customWidth="1"/>
    <col min="13136" max="13139" width="8.42578125" style="57" customWidth="1"/>
    <col min="13140" max="13140" width="7.5703125" style="57" customWidth="1"/>
    <col min="13141" max="13142" width="9.28515625" style="57"/>
    <col min="13143" max="13143" width="54.42578125" style="57" customWidth="1"/>
    <col min="13144" max="13145" width="9.28515625" style="57" bestFit="1" customWidth="1"/>
    <col min="13146" max="13146" width="11" style="57" bestFit="1" customWidth="1"/>
    <col min="13147" max="13147" width="9.28515625" style="57" bestFit="1" customWidth="1"/>
    <col min="13148" max="13148" width="9.28515625" style="57"/>
    <col min="13149" max="13149" width="47.28515625" style="57" customWidth="1"/>
    <col min="13150" max="13151" width="9.28515625" style="57" bestFit="1" customWidth="1"/>
    <col min="13152" max="13152" width="11" style="57" bestFit="1" customWidth="1"/>
    <col min="13153" max="13153" width="9.28515625" style="57"/>
    <col min="13154" max="13154" width="11" style="57" bestFit="1" customWidth="1"/>
    <col min="13155" max="13314" width="9.28515625" style="57"/>
    <col min="13315" max="13315" width="4.5703125" style="57" bestFit="1" customWidth="1"/>
    <col min="13316" max="13316" width="32.28515625" style="57" customWidth="1"/>
    <col min="13317" max="13323" width="12.5703125" style="57" customWidth="1"/>
    <col min="13324" max="13324" width="14.42578125" style="57" customWidth="1"/>
    <col min="13325" max="13325" width="12.5703125" style="57" customWidth="1"/>
    <col min="13326" max="13326" width="13.7109375" style="57" customWidth="1"/>
    <col min="13327" max="13329" width="10" style="57" customWidth="1"/>
    <col min="13330" max="13331" width="10.5703125" style="57" customWidth="1"/>
    <col min="13332" max="13333" width="11.7109375" style="57" customWidth="1"/>
    <col min="13334" max="13336" width="8.5703125" style="57" customWidth="1"/>
    <col min="13337" max="13337" width="9.42578125" style="57" customWidth="1"/>
    <col min="13338" max="13339" width="13.28515625" style="57" customWidth="1"/>
    <col min="13340" max="13341" width="0" style="57" hidden="1" customWidth="1"/>
    <col min="13342" max="13343" width="7.5703125" style="57" customWidth="1"/>
    <col min="13344" max="13344" width="8.7109375" style="57" customWidth="1"/>
    <col min="13345" max="13345" width="11.28515625" style="57" customWidth="1"/>
    <col min="13346" max="13346" width="11.7109375" style="57" customWidth="1"/>
    <col min="13347" max="13347" width="13.5703125" style="57" customWidth="1"/>
    <col min="13348" max="13348" width="10.5703125" style="57" customWidth="1"/>
    <col min="13349" max="13349" width="11.7109375" style="57" customWidth="1"/>
    <col min="13350" max="13350" width="11" style="57" customWidth="1"/>
    <col min="13351" max="13351" width="9.7109375" style="57" customWidth="1"/>
    <col min="13352" max="13353" width="0" style="57" hidden="1" customWidth="1"/>
    <col min="13354" max="13354" width="10.42578125" style="57" customWidth="1"/>
    <col min="13355" max="13390" width="6.5703125" style="57" customWidth="1"/>
    <col min="13391" max="13391" width="8.28515625" style="57" customWidth="1"/>
    <col min="13392" max="13395" width="8.42578125" style="57" customWidth="1"/>
    <col min="13396" max="13396" width="7.5703125" style="57" customWidth="1"/>
    <col min="13397" max="13398" width="9.28515625" style="57"/>
    <col min="13399" max="13399" width="54.42578125" style="57" customWidth="1"/>
    <col min="13400" max="13401" width="9.28515625" style="57" bestFit="1" customWidth="1"/>
    <col min="13402" max="13402" width="11" style="57" bestFit="1" customWidth="1"/>
    <col min="13403" max="13403" width="9.28515625" style="57" bestFit="1" customWidth="1"/>
    <col min="13404" max="13404" width="9.28515625" style="57"/>
    <col min="13405" max="13405" width="47.28515625" style="57" customWidth="1"/>
    <col min="13406" max="13407" width="9.28515625" style="57" bestFit="1" customWidth="1"/>
    <col min="13408" max="13408" width="11" style="57" bestFit="1" customWidth="1"/>
    <col min="13409" max="13409" width="9.28515625" style="57"/>
    <col min="13410" max="13410" width="11" style="57" bestFit="1" customWidth="1"/>
    <col min="13411" max="13570" width="9.28515625" style="57"/>
    <col min="13571" max="13571" width="4.5703125" style="57" bestFit="1" customWidth="1"/>
    <col min="13572" max="13572" width="32.28515625" style="57" customWidth="1"/>
    <col min="13573" max="13579" width="12.5703125" style="57" customWidth="1"/>
    <col min="13580" max="13580" width="14.42578125" style="57" customWidth="1"/>
    <col min="13581" max="13581" width="12.5703125" style="57" customWidth="1"/>
    <col min="13582" max="13582" width="13.7109375" style="57" customWidth="1"/>
    <col min="13583" max="13585" width="10" style="57" customWidth="1"/>
    <col min="13586" max="13587" width="10.5703125" style="57" customWidth="1"/>
    <col min="13588" max="13589" width="11.7109375" style="57" customWidth="1"/>
    <col min="13590" max="13592" width="8.5703125" style="57" customWidth="1"/>
    <col min="13593" max="13593" width="9.42578125" style="57" customWidth="1"/>
    <col min="13594" max="13595" width="13.28515625" style="57" customWidth="1"/>
    <col min="13596" max="13597" width="0" style="57" hidden="1" customWidth="1"/>
    <col min="13598" max="13599" width="7.5703125" style="57" customWidth="1"/>
    <col min="13600" max="13600" width="8.7109375" style="57" customWidth="1"/>
    <col min="13601" max="13601" width="11.28515625" style="57" customWidth="1"/>
    <col min="13602" max="13602" width="11.7109375" style="57" customWidth="1"/>
    <col min="13603" max="13603" width="13.5703125" style="57" customWidth="1"/>
    <col min="13604" max="13604" width="10.5703125" style="57" customWidth="1"/>
    <col min="13605" max="13605" width="11.7109375" style="57" customWidth="1"/>
    <col min="13606" max="13606" width="11" style="57" customWidth="1"/>
    <col min="13607" max="13607" width="9.7109375" style="57" customWidth="1"/>
    <col min="13608" max="13609" width="0" style="57" hidden="1" customWidth="1"/>
    <col min="13610" max="13610" width="10.42578125" style="57" customWidth="1"/>
    <col min="13611" max="13646" width="6.5703125" style="57" customWidth="1"/>
    <col min="13647" max="13647" width="8.28515625" style="57" customWidth="1"/>
    <col min="13648" max="13651" width="8.42578125" style="57" customWidth="1"/>
    <col min="13652" max="13652" width="7.5703125" style="57" customWidth="1"/>
    <col min="13653" max="13654" width="9.28515625" style="57"/>
    <col min="13655" max="13655" width="54.42578125" style="57" customWidth="1"/>
    <col min="13656" max="13657" width="9.28515625" style="57" bestFit="1" customWidth="1"/>
    <col min="13658" max="13658" width="11" style="57" bestFit="1" customWidth="1"/>
    <col min="13659" max="13659" width="9.28515625" style="57" bestFit="1" customWidth="1"/>
    <col min="13660" max="13660" width="9.28515625" style="57"/>
    <col min="13661" max="13661" width="47.28515625" style="57" customWidth="1"/>
    <col min="13662" max="13663" width="9.28515625" style="57" bestFit="1" customWidth="1"/>
    <col min="13664" max="13664" width="11" style="57" bestFit="1" customWidth="1"/>
    <col min="13665" max="13665" width="9.28515625" style="57"/>
    <col min="13666" max="13666" width="11" style="57" bestFit="1" customWidth="1"/>
    <col min="13667" max="13826" width="9.28515625" style="57"/>
    <col min="13827" max="13827" width="4.5703125" style="57" bestFit="1" customWidth="1"/>
    <col min="13828" max="13828" width="32.28515625" style="57" customWidth="1"/>
    <col min="13829" max="13835" width="12.5703125" style="57" customWidth="1"/>
    <col min="13836" max="13836" width="14.42578125" style="57" customWidth="1"/>
    <col min="13837" max="13837" width="12.5703125" style="57" customWidth="1"/>
    <col min="13838" max="13838" width="13.7109375" style="57" customWidth="1"/>
    <col min="13839" max="13841" width="10" style="57" customWidth="1"/>
    <col min="13842" max="13843" width="10.5703125" style="57" customWidth="1"/>
    <col min="13844" max="13845" width="11.7109375" style="57" customWidth="1"/>
    <col min="13846" max="13848" width="8.5703125" style="57" customWidth="1"/>
    <col min="13849" max="13849" width="9.42578125" style="57" customWidth="1"/>
    <col min="13850" max="13851" width="13.28515625" style="57" customWidth="1"/>
    <col min="13852" max="13853" width="0" style="57" hidden="1" customWidth="1"/>
    <col min="13854" max="13855" width="7.5703125" style="57" customWidth="1"/>
    <col min="13856" max="13856" width="8.7109375" style="57" customWidth="1"/>
    <col min="13857" max="13857" width="11.28515625" style="57" customWidth="1"/>
    <col min="13858" max="13858" width="11.7109375" style="57" customWidth="1"/>
    <col min="13859" max="13859" width="13.5703125" style="57" customWidth="1"/>
    <col min="13860" max="13860" width="10.5703125" style="57" customWidth="1"/>
    <col min="13861" max="13861" width="11.7109375" style="57" customWidth="1"/>
    <col min="13862" max="13862" width="11" style="57" customWidth="1"/>
    <col min="13863" max="13863" width="9.7109375" style="57" customWidth="1"/>
    <col min="13864" max="13865" width="0" style="57" hidden="1" customWidth="1"/>
    <col min="13866" max="13866" width="10.42578125" style="57" customWidth="1"/>
    <col min="13867" max="13902" width="6.5703125" style="57" customWidth="1"/>
    <col min="13903" max="13903" width="8.28515625" style="57" customWidth="1"/>
    <col min="13904" max="13907" width="8.42578125" style="57" customWidth="1"/>
    <col min="13908" max="13908" width="7.5703125" style="57" customWidth="1"/>
    <col min="13909" max="13910" width="9.28515625" style="57"/>
    <col min="13911" max="13911" width="54.42578125" style="57" customWidth="1"/>
    <col min="13912" max="13913" width="9.28515625" style="57" bestFit="1" customWidth="1"/>
    <col min="13914" max="13914" width="11" style="57" bestFit="1" customWidth="1"/>
    <col min="13915" max="13915" width="9.28515625" style="57" bestFit="1" customWidth="1"/>
    <col min="13916" max="13916" width="9.28515625" style="57"/>
    <col min="13917" max="13917" width="47.28515625" style="57" customWidth="1"/>
    <col min="13918" max="13919" width="9.28515625" style="57" bestFit="1" customWidth="1"/>
    <col min="13920" max="13920" width="11" style="57" bestFit="1" customWidth="1"/>
    <col min="13921" max="13921" width="9.28515625" style="57"/>
    <col min="13922" max="13922" width="11" style="57" bestFit="1" customWidth="1"/>
    <col min="13923" max="14082" width="9.28515625" style="57"/>
    <col min="14083" max="14083" width="4.5703125" style="57" bestFit="1" customWidth="1"/>
    <col min="14084" max="14084" width="32.28515625" style="57" customWidth="1"/>
    <col min="14085" max="14091" width="12.5703125" style="57" customWidth="1"/>
    <col min="14092" max="14092" width="14.42578125" style="57" customWidth="1"/>
    <col min="14093" max="14093" width="12.5703125" style="57" customWidth="1"/>
    <col min="14094" max="14094" width="13.7109375" style="57" customWidth="1"/>
    <col min="14095" max="14097" width="10" style="57" customWidth="1"/>
    <col min="14098" max="14099" width="10.5703125" style="57" customWidth="1"/>
    <col min="14100" max="14101" width="11.7109375" style="57" customWidth="1"/>
    <col min="14102" max="14104" width="8.5703125" style="57" customWidth="1"/>
    <col min="14105" max="14105" width="9.42578125" style="57" customWidth="1"/>
    <col min="14106" max="14107" width="13.28515625" style="57" customWidth="1"/>
    <col min="14108" max="14109" width="0" style="57" hidden="1" customWidth="1"/>
    <col min="14110" max="14111" width="7.5703125" style="57" customWidth="1"/>
    <col min="14112" max="14112" width="8.7109375" style="57" customWidth="1"/>
    <col min="14113" max="14113" width="11.28515625" style="57" customWidth="1"/>
    <col min="14114" max="14114" width="11.7109375" style="57" customWidth="1"/>
    <col min="14115" max="14115" width="13.5703125" style="57" customWidth="1"/>
    <col min="14116" max="14116" width="10.5703125" style="57" customWidth="1"/>
    <col min="14117" max="14117" width="11.7109375" style="57" customWidth="1"/>
    <col min="14118" max="14118" width="11" style="57" customWidth="1"/>
    <col min="14119" max="14119" width="9.7109375" style="57" customWidth="1"/>
    <col min="14120" max="14121" width="0" style="57" hidden="1" customWidth="1"/>
    <col min="14122" max="14122" width="10.42578125" style="57" customWidth="1"/>
    <col min="14123" max="14158" width="6.5703125" style="57" customWidth="1"/>
    <col min="14159" max="14159" width="8.28515625" style="57" customWidth="1"/>
    <col min="14160" max="14163" width="8.42578125" style="57" customWidth="1"/>
    <col min="14164" max="14164" width="7.5703125" style="57" customWidth="1"/>
    <col min="14165" max="14166" width="9.28515625" style="57"/>
    <col min="14167" max="14167" width="54.42578125" style="57" customWidth="1"/>
    <col min="14168" max="14169" width="9.28515625" style="57" bestFit="1" customWidth="1"/>
    <col min="14170" max="14170" width="11" style="57" bestFit="1" customWidth="1"/>
    <col min="14171" max="14171" width="9.28515625" style="57" bestFit="1" customWidth="1"/>
    <col min="14172" max="14172" width="9.28515625" style="57"/>
    <col min="14173" max="14173" width="47.28515625" style="57" customWidth="1"/>
    <col min="14174" max="14175" width="9.28515625" style="57" bestFit="1" customWidth="1"/>
    <col min="14176" max="14176" width="11" style="57" bestFit="1" customWidth="1"/>
    <col min="14177" max="14177" width="9.28515625" style="57"/>
    <col min="14178" max="14178" width="11" style="57" bestFit="1" customWidth="1"/>
    <col min="14179" max="14338" width="9.28515625" style="57"/>
    <col min="14339" max="14339" width="4.5703125" style="57" bestFit="1" customWidth="1"/>
    <col min="14340" max="14340" width="32.28515625" style="57" customWidth="1"/>
    <col min="14341" max="14347" width="12.5703125" style="57" customWidth="1"/>
    <col min="14348" max="14348" width="14.42578125" style="57" customWidth="1"/>
    <col min="14349" max="14349" width="12.5703125" style="57" customWidth="1"/>
    <col min="14350" max="14350" width="13.7109375" style="57" customWidth="1"/>
    <col min="14351" max="14353" width="10" style="57" customWidth="1"/>
    <col min="14354" max="14355" width="10.5703125" style="57" customWidth="1"/>
    <col min="14356" max="14357" width="11.7109375" style="57" customWidth="1"/>
    <col min="14358" max="14360" width="8.5703125" style="57" customWidth="1"/>
    <col min="14361" max="14361" width="9.42578125" style="57" customWidth="1"/>
    <col min="14362" max="14363" width="13.28515625" style="57" customWidth="1"/>
    <col min="14364" max="14365" width="0" style="57" hidden="1" customWidth="1"/>
    <col min="14366" max="14367" width="7.5703125" style="57" customWidth="1"/>
    <col min="14368" max="14368" width="8.7109375" style="57" customWidth="1"/>
    <col min="14369" max="14369" width="11.28515625" style="57" customWidth="1"/>
    <col min="14370" max="14370" width="11.7109375" style="57" customWidth="1"/>
    <col min="14371" max="14371" width="13.5703125" style="57" customWidth="1"/>
    <col min="14372" max="14372" width="10.5703125" style="57" customWidth="1"/>
    <col min="14373" max="14373" width="11.7109375" style="57" customWidth="1"/>
    <col min="14374" max="14374" width="11" style="57" customWidth="1"/>
    <col min="14375" max="14375" width="9.7109375" style="57" customWidth="1"/>
    <col min="14376" max="14377" width="0" style="57" hidden="1" customWidth="1"/>
    <col min="14378" max="14378" width="10.42578125" style="57" customWidth="1"/>
    <col min="14379" max="14414" width="6.5703125" style="57" customWidth="1"/>
    <col min="14415" max="14415" width="8.28515625" style="57" customWidth="1"/>
    <col min="14416" max="14419" width="8.42578125" style="57" customWidth="1"/>
    <col min="14420" max="14420" width="7.5703125" style="57" customWidth="1"/>
    <col min="14421" max="14422" width="9.28515625" style="57"/>
    <col min="14423" max="14423" width="54.42578125" style="57" customWidth="1"/>
    <col min="14424" max="14425" width="9.28515625" style="57" bestFit="1" customWidth="1"/>
    <col min="14426" max="14426" width="11" style="57" bestFit="1" customWidth="1"/>
    <col min="14427" max="14427" width="9.28515625" style="57" bestFit="1" customWidth="1"/>
    <col min="14428" max="14428" width="9.28515625" style="57"/>
    <col min="14429" max="14429" width="47.28515625" style="57" customWidth="1"/>
    <col min="14430" max="14431" width="9.28515625" style="57" bestFit="1" customWidth="1"/>
    <col min="14432" max="14432" width="11" style="57" bestFit="1" customWidth="1"/>
    <col min="14433" max="14433" width="9.28515625" style="57"/>
    <col min="14434" max="14434" width="11" style="57" bestFit="1" customWidth="1"/>
    <col min="14435" max="14594" width="9.28515625" style="57"/>
    <col min="14595" max="14595" width="4.5703125" style="57" bestFit="1" customWidth="1"/>
    <col min="14596" max="14596" width="32.28515625" style="57" customWidth="1"/>
    <col min="14597" max="14603" width="12.5703125" style="57" customWidth="1"/>
    <col min="14604" max="14604" width="14.42578125" style="57" customWidth="1"/>
    <col min="14605" max="14605" width="12.5703125" style="57" customWidth="1"/>
    <col min="14606" max="14606" width="13.7109375" style="57" customWidth="1"/>
    <col min="14607" max="14609" width="10" style="57" customWidth="1"/>
    <col min="14610" max="14611" width="10.5703125" style="57" customWidth="1"/>
    <col min="14612" max="14613" width="11.7109375" style="57" customWidth="1"/>
    <col min="14614" max="14616" width="8.5703125" style="57" customWidth="1"/>
    <col min="14617" max="14617" width="9.42578125" style="57" customWidth="1"/>
    <col min="14618" max="14619" width="13.28515625" style="57" customWidth="1"/>
    <col min="14620" max="14621" width="0" style="57" hidden="1" customWidth="1"/>
    <col min="14622" max="14623" width="7.5703125" style="57" customWidth="1"/>
    <col min="14624" max="14624" width="8.7109375" style="57" customWidth="1"/>
    <col min="14625" max="14625" width="11.28515625" style="57" customWidth="1"/>
    <col min="14626" max="14626" width="11.7109375" style="57" customWidth="1"/>
    <col min="14627" max="14627" width="13.5703125" style="57" customWidth="1"/>
    <col min="14628" max="14628" width="10.5703125" style="57" customWidth="1"/>
    <col min="14629" max="14629" width="11.7109375" style="57" customWidth="1"/>
    <col min="14630" max="14630" width="11" style="57" customWidth="1"/>
    <col min="14631" max="14631" width="9.7109375" style="57" customWidth="1"/>
    <col min="14632" max="14633" width="0" style="57" hidden="1" customWidth="1"/>
    <col min="14634" max="14634" width="10.42578125" style="57" customWidth="1"/>
    <col min="14635" max="14670" width="6.5703125" style="57" customWidth="1"/>
    <col min="14671" max="14671" width="8.28515625" style="57" customWidth="1"/>
    <col min="14672" max="14675" width="8.42578125" style="57" customWidth="1"/>
    <col min="14676" max="14676" width="7.5703125" style="57" customWidth="1"/>
    <col min="14677" max="14678" width="9.28515625" style="57"/>
    <col min="14679" max="14679" width="54.42578125" style="57" customWidth="1"/>
    <col min="14680" max="14681" width="9.28515625" style="57" bestFit="1" customWidth="1"/>
    <col min="14682" max="14682" width="11" style="57" bestFit="1" customWidth="1"/>
    <col min="14683" max="14683" width="9.28515625" style="57" bestFit="1" customWidth="1"/>
    <col min="14684" max="14684" width="9.28515625" style="57"/>
    <col min="14685" max="14685" width="47.28515625" style="57" customWidth="1"/>
    <col min="14686" max="14687" width="9.28515625" style="57" bestFit="1" customWidth="1"/>
    <col min="14688" max="14688" width="11" style="57" bestFit="1" customWidth="1"/>
    <col min="14689" max="14689" width="9.28515625" style="57"/>
    <col min="14690" max="14690" width="11" style="57" bestFit="1" customWidth="1"/>
    <col min="14691" max="14850" width="9.28515625" style="57"/>
    <col min="14851" max="14851" width="4.5703125" style="57" bestFit="1" customWidth="1"/>
    <col min="14852" max="14852" width="32.28515625" style="57" customWidth="1"/>
    <col min="14853" max="14859" width="12.5703125" style="57" customWidth="1"/>
    <col min="14860" max="14860" width="14.42578125" style="57" customWidth="1"/>
    <col min="14861" max="14861" width="12.5703125" style="57" customWidth="1"/>
    <col min="14862" max="14862" width="13.7109375" style="57" customWidth="1"/>
    <col min="14863" max="14865" width="10" style="57" customWidth="1"/>
    <col min="14866" max="14867" width="10.5703125" style="57" customWidth="1"/>
    <col min="14868" max="14869" width="11.7109375" style="57" customWidth="1"/>
    <col min="14870" max="14872" width="8.5703125" style="57" customWidth="1"/>
    <col min="14873" max="14873" width="9.42578125" style="57" customWidth="1"/>
    <col min="14874" max="14875" width="13.28515625" style="57" customWidth="1"/>
    <col min="14876" max="14877" width="0" style="57" hidden="1" customWidth="1"/>
    <col min="14878" max="14879" width="7.5703125" style="57" customWidth="1"/>
    <col min="14880" max="14880" width="8.7109375" style="57" customWidth="1"/>
    <col min="14881" max="14881" width="11.28515625" style="57" customWidth="1"/>
    <col min="14882" max="14882" width="11.7109375" style="57" customWidth="1"/>
    <col min="14883" max="14883" width="13.5703125" style="57" customWidth="1"/>
    <col min="14884" max="14884" width="10.5703125" style="57" customWidth="1"/>
    <col min="14885" max="14885" width="11.7109375" style="57" customWidth="1"/>
    <col min="14886" max="14886" width="11" style="57" customWidth="1"/>
    <col min="14887" max="14887" width="9.7109375" style="57" customWidth="1"/>
    <col min="14888" max="14889" width="0" style="57" hidden="1" customWidth="1"/>
    <col min="14890" max="14890" width="10.42578125" style="57" customWidth="1"/>
    <col min="14891" max="14926" width="6.5703125" style="57" customWidth="1"/>
    <col min="14927" max="14927" width="8.28515625" style="57" customWidth="1"/>
    <col min="14928" max="14931" width="8.42578125" style="57" customWidth="1"/>
    <col min="14932" max="14932" width="7.5703125" style="57" customWidth="1"/>
    <col min="14933" max="14934" width="9.28515625" style="57"/>
    <col min="14935" max="14935" width="54.42578125" style="57" customWidth="1"/>
    <col min="14936" max="14937" width="9.28515625" style="57" bestFit="1" customWidth="1"/>
    <col min="14938" max="14938" width="11" style="57" bestFit="1" customWidth="1"/>
    <col min="14939" max="14939" width="9.28515625" style="57" bestFit="1" customWidth="1"/>
    <col min="14940" max="14940" width="9.28515625" style="57"/>
    <col min="14941" max="14941" width="47.28515625" style="57" customWidth="1"/>
    <col min="14942" max="14943" width="9.28515625" style="57" bestFit="1" customWidth="1"/>
    <col min="14944" max="14944" width="11" style="57" bestFit="1" customWidth="1"/>
    <col min="14945" max="14945" width="9.28515625" style="57"/>
    <col min="14946" max="14946" width="11" style="57" bestFit="1" customWidth="1"/>
    <col min="14947" max="15106" width="9.28515625" style="57"/>
    <col min="15107" max="15107" width="4.5703125" style="57" bestFit="1" customWidth="1"/>
    <col min="15108" max="15108" width="32.28515625" style="57" customWidth="1"/>
    <col min="15109" max="15115" width="12.5703125" style="57" customWidth="1"/>
    <col min="15116" max="15116" width="14.42578125" style="57" customWidth="1"/>
    <col min="15117" max="15117" width="12.5703125" style="57" customWidth="1"/>
    <col min="15118" max="15118" width="13.7109375" style="57" customWidth="1"/>
    <col min="15119" max="15121" width="10" style="57" customWidth="1"/>
    <col min="15122" max="15123" width="10.5703125" style="57" customWidth="1"/>
    <col min="15124" max="15125" width="11.7109375" style="57" customWidth="1"/>
    <col min="15126" max="15128" width="8.5703125" style="57" customWidth="1"/>
    <col min="15129" max="15129" width="9.42578125" style="57" customWidth="1"/>
    <col min="15130" max="15131" width="13.28515625" style="57" customWidth="1"/>
    <col min="15132" max="15133" width="0" style="57" hidden="1" customWidth="1"/>
    <col min="15134" max="15135" width="7.5703125" style="57" customWidth="1"/>
    <col min="15136" max="15136" width="8.7109375" style="57" customWidth="1"/>
    <col min="15137" max="15137" width="11.28515625" style="57" customWidth="1"/>
    <col min="15138" max="15138" width="11.7109375" style="57" customWidth="1"/>
    <col min="15139" max="15139" width="13.5703125" style="57" customWidth="1"/>
    <col min="15140" max="15140" width="10.5703125" style="57" customWidth="1"/>
    <col min="15141" max="15141" width="11.7109375" style="57" customWidth="1"/>
    <col min="15142" max="15142" width="11" style="57" customWidth="1"/>
    <col min="15143" max="15143" width="9.7109375" style="57" customWidth="1"/>
    <col min="15144" max="15145" width="0" style="57" hidden="1" customWidth="1"/>
    <col min="15146" max="15146" width="10.42578125" style="57" customWidth="1"/>
    <col min="15147" max="15182" width="6.5703125" style="57" customWidth="1"/>
    <col min="15183" max="15183" width="8.28515625" style="57" customWidth="1"/>
    <col min="15184" max="15187" width="8.42578125" style="57" customWidth="1"/>
    <col min="15188" max="15188" width="7.5703125" style="57" customWidth="1"/>
    <col min="15189" max="15190" width="9.28515625" style="57"/>
    <col min="15191" max="15191" width="54.42578125" style="57" customWidth="1"/>
    <col min="15192" max="15193" width="9.28515625" style="57" bestFit="1" customWidth="1"/>
    <col min="15194" max="15194" width="11" style="57" bestFit="1" customWidth="1"/>
    <col min="15195" max="15195" width="9.28515625" style="57" bestFit="1" customWidth="1"/>
    <col min="15196" max="15196" width="9.28515625" style="57"/>
    <col min="15197" max="15197" width="47.28515625" style="57" customWidth="1"/>
    <col min="15198" max="15199" width="9.28515625" style="57" bestFit="1" customWidth="1"/>
    <col min="15200" max="15200" width="11" style="57" bestFit="1" customWidth="1"/>
    <col min="15201" max="15201" width="9.28515625" style="57"/>
    <col min="15202" max="15202" width="11" style="57" bestFit="1" customWidth="1"/>
    <col min="15203" max="15362" width="9.28515625" style="57"/>
    <col min="15363" max="15363" width="4.5703125" style="57" bestFit="1" customWidth="1"/>
    <col min="15364" max="15364" width="32.28515625" style="57" customWidth="1"/>
    <col min="15365" max="15371" width="12.5703125" style="57" customWidth="1"/>
    <col min="15372" max="15372" width="14.42578125" style="57" customWidth="1"/>
    <col min="15373" max="15373" width="12.5703125" style="57" customWidth="1"/>
    <col min="15374" max="15374" width="13.7109375" style="57" customWidth="1"/>
    <col min="15375" max="15377" width="10" style="57" customWidth="1"/>
    <col min="15378" max="15379" width="10.5703125" style="57" customWidth="1"/>
    <col min="15380" max="15381" width="11.7109375" style="57" customWidth="1"/>
    <col min="15382" max="15384" width="8.5703125" style="57" customWidth="1"/>
    <col min="15385" max="15385" width="9.42578125" style="57" customWidth="1"/>
    <col min="15386" max="15387" width="13.28515625" style="57" customWidth="1"/>
    <col min="15388" max="15389" width="0" style="57" hidden="1" customWidth="1"/>
    <col min="15390" max="15391" width="7.5703125" style="57" customWidth="1"/>
    <col min="15392" max="15392" width="8.7109375" style="57" customWidth="1"/>
    <col min="15393" max="15393" width="11.28515625" style="57" customWidth="1"/>
    <col min="15394" max="15394" width="11.7109375" style="57" customWidth="1"/>
    <col min="15395" max="15395" width="13.5703125" style="57" customWidth="1"/>
    <col min="15396" max="15396" width="10.5703125" style="57" customWidth="1"/>
    <col min="15397" max="15397" width="11.7109375" style="57" customWidth="1"/>
    <col min="15398" max="15398" width="11" style="57" customWidth="1"/>
    <col min="15399" max="15399" width="9.7109375" style="57" customWidth="1"/>
    <col min="15400" max="15401" width="0" style="57" hidden="1" customWidth="1"/>
    <col min="15402" max="15402" width="10.42578125" style="57" customWidth="1"/>
    <col min="15403" max="15438" width="6.5703125" style="57" customWidth="1"/>
    <col min="15439" max="15439" width="8.28515625" style="57" customWidth="1"/>
    <col min="15440" max="15443" width="8.42578125" style="57" customWidth="1"/>
    <col min="15444" max="15444" width="7.5703125" style="57" customWidth="1"/>
    <col min="15445" max="15446" width="9.28515625" style="57"/>
    <col min="15447" max="15447" width="54.42578125" style="57" customWidth="1"/>
    <col min="15448" max="15449" width="9.28515625" style="57" bestFit="1" customWidth="1"/>
    <col min="15450" max="15450" width="11" style="57" bestFit="1" customWidth="1"/>
    <col min="15451" max="15451" width="9.28515625" style="57" bestFit="1" customWidth="1"/>
    <col min="15452" max="15452" width="9.28515625" style="57"/>
    <col min="15453" max="15453" width="47.28515625" style="57" customWidth="1"/>
    <col min="15454" max="15455" width="9.28515625" style="57" bestFit="1" customWidth="1"/>
    <col min="15456" max="15456" width="11" style="57" bestFit="1" customWidth="1"/>
    <col min="15457" max="15457" width="9.28515625" style="57"/>
    <col min="15458" max="15458" width="11" style="57" bestFit="1" customWidth="1"/>
    <col min="15459" max="15618" width="9.28515625" style="57"/>
    <col min="15619" max="15619" width="4.5703125" style="57" bestFit="1" customWidth="1"/>
    <col min="15620" max="15620" width="32.28515625" style="57" customWidth="1"/>
    <col min="15621" max="15627" width="12.5703125" style="57" customWidth="1"/>
    <col min="15628" max="15628" width="14.42578125" style="57" customWidth="1"/>
    <col min="15629" max="15629" width="12.5703125" style="57" customWidth="1"/>
    <col min="15630" max="15630" width="13.7109375" style="57" customWidth="1"/>
    <col min="15631" max="15633" width="10" style="57" customWidth="1"/>
    <col min="15634" max="15635" width="10.5703125" style="57" customWidth="1"/>
    <col min="15636" max="15637" width="11.7109375" style="57" customWidth="1"/>
    <col min="15638" max="15640" width="8.5703125" style="57" customWidth="1"/>
    <col min="15641" max="15641" width="9.42578125" style="57" customWidth="1"/>
    <col min="15642" max="15643" width="13.28515625" style="57" customWidth="1"/>
    <col min="15644" max="15645" width="0" style="57" hidden="1" customWidth="1"/>
    <col min="15646" max="15647" width="7.5703125" style="57" customWidth="1"/>
    <col min="15648" max="15648" width="8.7109375" style="57" customWidth="1"/>
    <col min="15649" max="15649" width="11.28515625" style="57" customWidth="1"/>
    <col min="15650" max="15650" width="11.7109375" style="57" customWidth="1"/>
    <col min="15651" max="15651" width="13.5703125" style="57" customWidth="1"/>
    <col min="15652" max="15652" width="10.5703125" style="57" customWidth="1"/>
    <col min="15653" max="15653" width="11.7109375" style="57" customWidth="1"/>
    <col min="15654" max="15654" width="11" style="57" customWidth="1"/>
    <col min="15655" max="15655" width="9.7109375" style="57" customWidth="1"/>
    <col min="15656" max="15657" width="0" style="57" hidden="1" customWidth="1"/>
    <col min="15658" max="15658" width="10.42578125" style="57" customWidth="1"/>
    <col min="15659" max="15694" width="6.5703125" style="57" customWidth="1"/>
    <col min="15695" max="15695" width="8.28515625" style="57" customWidth="1"/>
    <col min="15696" max="15699" width="8.42578125" style="57" customWidth="1"/>
    <col min="15700" max="15700" width="7.5703125" style="57" customWidth="1"/>
    <col min="15701" max="15702" width="9.28515625" style="57"/>
    <col min="15703" max="15703" width="54.42578125" style="57" customWidth="1"/>
    <col min="15704" max="15705" width="9.28515625" style="57" bestFit="1" customWidth="1"/>
    <col min="15706" max="15706" width="11" style="57" bestFit="1" customWidth="1"/>
    <col min="15707" max="15707" width="9.28515625" style="57" bestFit="1" customWidth="1"/>
    <col min="15708" max="15708" width="9.28515625" style="57"/>
    <col min="15709" max="15709" width="47.28515625" style="57" customWidth="1"/>
    <col min="15710" max="15711" width="9.28515625" style="57" bestFit="1" customWidth="1"/>
    <col min="15712" max="15712" width="11" style="57" bestFit="1" customWidth="1"/>
    <col min="15713" max="15713" width="9.28515625" style="57"/>
    <col min="15714" max="15714" width="11" style="57" bestFit="1" customWidth="1"/>
    <col min="15715" max="15874" width="9.28515625" style="57"/>
    <col min="15875" max="15875" width="4.5703125" style="57" bestFit="1" customWidth="1"/>
    <col min="15876" max="15876" width="32.28515625" style="57" customWidth="1"/>
    <col min="15877" max="15883" width="12.5703125" style="57" customWidth="1"/>
    <col min="15884" max="15884" width="14.42578125" style="57" customWidth="1"/>
    <col min="15885" max="15885" width="12.5703125" style="57" customWidth="1"/>
    <col min="15886" max="15886" width="13.7109375" style="57" customWidth="1"/>
    <col min="15887" max="15889" width="10" style="57" customWidth="1"/>
    <col min="15890" max="15891" width="10.5703125" style="57" customWidth="1"/>
    <col min="15892" max="15893" width="11.7109375" style="57" customWidth="1"/>
    <col min="15894" max="15896" width="8.5703125" style="57" customWidth="1"/>
    <col min="15897" max="15897" width="9.42578125" style="57" customWidth="1"/>
    <col min="15898" max="15899" width="13.28515625" style="57" customWidth="1"/>
    <col min="15900" max="15901" width="0" style="57" hidden="1" customWidth="1"/>
    <col min="15902" max="15903" width="7.5703125" style="57" customWidth="1"/>
    <col min="15904" max="15904" width="8.7109375" style="57" customWidth="1"/>
    <col min="15905" max="15905" width="11.28515625" style="57" customWidth="1"/>
    <col min="15906" max="15906" width="11.7109375" style="57" customWidth="1"/>
    <col min="15907" max="15907" width="13.5703125" style="57" customWidth="1"/>
    <col min="15908" max="15908" width="10.5703125" style="57" customWidth="1"/>
    <col min="15909" max="15909" width="11.7109375" style="57" customWidth="1"/>
    <col min="15910" max="15910" width="11" style="57" customWidth="1"/>
    <col min="15911" max="15911" width="9.7109375" style="57" customWidth="1"/>
    <col min="15912" max="15913" width="0" style="57" hidden="1" customWidth="1"/>
    <col min="15914" max="15914" width="10.42578125" style="57" customWidth="1"/>
    <col min="15915" max="15950" width="6.5703125" style="57" customWidth="1"/>
    <col min="15951" max="15951" width="8.28515625" style="57" customWidth="1"/>
    <col min="15952" max="15955" width="8.42578125" style="57" customWidth="1"/>
    <col min="15956" max="15956" width="7.5703125" style="57" customWidth="1"/>
    <col min="15957" max="15958" width="9.28515625" style="57"/>
    <col min="15959" max="15959" width="54.42578125" style="57" customWidth="1"/>
    <col min="15960" max="15961" width="9.28515625" style="57" bestFit="1" customWidth="1"/>
    <col min="15962" max="15962" width="11" style="57" bestFit="1" customWidth="1"/>
    <col min="15963" max="15963" width="9.28515625" style="57" bestFit="1" customWidth="1"/>
    <col min="15964" max="15964" width="9.28515625" style="57"/>
    <col min="15965" max="15965" width="47.28515625" style="57" customWidth="1"/>
    <col min="15966" max="15967" width="9.28515625" style="57" bestFit="1" customWidth="1"/>
    <col min="15968" max="15968" width="11" style="57" bestFit="1" customWidth="1"/>
    <col min="15969" max="15969" width="9.28515625" style="57"/>
    <col min="15970" max="15970" width="11" style="57" bestFit="1" customWidth="1"/>
    <col min="15971" max="16130" width="9.28515625" style="57"/>
    <col min="16131" max="16131" width="4.5703125" style="57" bestFit="1" customWidth="1"/>
    <col min="16132" max="16132" width="32.28515625" style="57" customWidth="1"/>
    <col min="16133" max="16139" width="12.5703125" style="57" customWidth="1"/>
    <col min="16140" max="16140" width="14.42578125" style="57" customWidth="1"/>
    <col min="16141" max="16141" width="12.5703125" style="57" customWidth="1"/>
    <col min="16142" max="16142" width="13.7109375" style="57" customWidth="1"/>
    <col min="16143" max="16145" width="10" style="57" customWidth="1"/>
    <col min="16146" max="16147" width="10.5703125" style="57" customWidth="1"/>
    <col min="16148" max="16149" width="11.7109375" style="57" customWidth="1"/>
    <col min="16150" max="16152" width="8.5703125" style="57" customWidth="1"/>
    <col min="16153" max="16153" width="9.42578125" style="57" customWidth="1"/>
    <col min="16154" max="16155" width="13.28515625" style="57" customWidth="1"/>
    <col min="16156" max="16157" width="0" style="57" hidden="1" customWidth="1"/>
    <col min="16158" max="16159" width="7.5703125" style="57" customWidth="1"/>
    <col min="16160" max="16160" width="8.7109375" style="57" customWidth="1"/>
    <col min="16161" max="16161" width="11.28515625" style="57" customWidth="1"/>
    <col min="16162" max="16162" width="11.7109375" style="57" customWidth="1"/>
    <col min="16163" max="16163" width="13.5703125" style="57" customWidth="1"/>
    <col min="16164" max="16164" width="10.5703125" style="57" customWidth="1"/>
    <col min="16165" max="16165" width="11.7109375" style="57" customWidth="1"/>
    <col min="16166" max="16166" width="11" style="57" customWidth="1"/>
    <col min="16167" max="16167" width="9.7109375" style="57" customWidth="1"/>
    <col min="16168" max="16169" width="0" style="57" hidden="1" customWidth="1"/>
    <col min="16170" max="16170" width="10.42578125" style="57" customWidth="1"/>
    <col min="16171" max="16206" width="6.5703125" style="57" customWidth="1"/>
    <col min="16207" max="16207" width="8.28515625" style="57" customWidth="1"/>
    <col min="16208" max="16211" width="8.42578125" style="57" customWidth="1"/>
    <col min="16212" max="16212" width="7.5703125" style="57" customWidth="1"/>
    <col min="16213" max="16214" width="9.28515625" style="57"/>
    <col min="16215" max="16215" width="54.42578125" style="57" customWidth="1"/>
    <col min="16216" max="16217" width="9.28515625" style="57" bestFit="1" customWidth="1"/>
    <col min="16218" max="16218" width="11" style="57" bestFit="1" customWidth="1"/>
    <col min="16219" max="16219" width="9.28515625" style="57" bestFit="1" customWidth="1"/>
    <col min="16220" max="16220" width="9.28515625" style="57"/>
    <col min="16221" max="16221" width="47.28515625" style="57" customWidth="1"/>
    <col min="16222" max="16223" width="9.28515625" style="57" bestFit="1" customWidth="1"/>
    <col min="16224" max="16224" width="11" style="57" bestFit="1" customWidth="1"/>
    <col min="16225" max="16225" width="9.28515625" style="57"/>
    <col min="16226" max="16226" width="11" style="57" bestFit="1" customWidth="1"/>
    <col min="16227" max="16384" width="9.28515625" style="57"/>
  </cols>
  <sheetData>
    <row r="1" spans="1:128" ht="23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6"/>
      <c r="DU1" s="56"/>
      <c r="DV1" s="56"/>
      <c r="DW1" s="56"/>
      <c r="DX1" s="56"/>
    </row>
    <row r="3" spans="1:128">
      <c r="A3" s="58" t="s">
        <v>131</v>
      </c>
      <c r="B3" s="59" t="s">
        <v>1</v>
      </c>
      <c r="C3" s="1451" t="s">
        <v>75</v>
      </c>
      <c r="D3" s="1452"/>
      <c r="E3" s="1452"/>
      <c r="F3" s="1452"/>
      <c r="G3" s="1452"/>
      <c r="H3" s="1452"/>
      <c r="I3" s="1452"/>
      <c r="J3" s="1452"/>
      <c r="K3" s="1452"/>
      <c r="L3" s="1452"/>
      <c r="M3" s="1453"/>
      <c r="N3" s="60"/>
      <c r="O3" s="60"/>
      <c r="P3" s="1451" t="s">
        <v>38</v>
      </c>
      <c r="Q3" s="1452"/>
      <c r="R3" s="1452"/>
      <c r="S3" s="1452"/>
      <c r="T3" s="1452"/>
      <c r="U3" s="1452"/>
      <c r="V3" s="1452"/>
      <c r="W3" s="1452"/>
      <c r="X3" s="1452"/>
      <c r="Y3" s="60"/>
      <c r="Z3" s="60"/>
      <c r="AA3" s="60"/>
      <c r="AB3" s="1454" t="s">
        <v>132</v>
      </c>
      <c r="AC3" s="1455"/>
      <c r="AD3" s="61" t="s">
        <v>133</v>
      </c>
      <c r="AE3" s="1451" t="s">
        <v>134</v>
      </c>
      <c r="AF3" s="1452"/>
      <c r="AG3" s="60"/>
      <c r="AH3" s="60"/>
      <c r="AI3" s="60"/>
      <c r="AJ3" s="1452" t="s">
        <v>39</v>
      </c>
      <c r="AK3" s="1452"/>
      <c r="AL3" s="1453"/>
      <c r="AM3" s="1451" t="s">
        <v>135</v>
      </c>
      <c r="AN3" s="1452"/>
      <c r="AO3" s="1452"/>
      <c r="AP3" s="1452"/>
      <c r="AQ3" s="1452"/>
      <c r="AR3" s="1452"/>
      <c r="AS3" s="1452"/>
      <c r="AT3" s="1452"/>
      <c r="AU3" s="1452"/>
      <c r="AV3" s="1452"/>
      <c r="AW3" s="1452"/>
      <c r="AX3" s="1452"/>
      <c r="AY3" s="1452"/>
      <c r="AZ3" s="1452"/>
      <c r="BA3" s="1452"/>
      <c r="BB3" s="1452"/>
      <c r="BC3" s="1452"/>
      <c r="BD3" s="1452"/>
      <c r="BE3" s="1452"/>
      <c r="BF3" s="1452"/>
      <c r="BG3" s="1452"/>
      <c r="BH3" s="1452"/>
      <c r="BI3" s="1452"/>
      <c r="BJ3" s="1452"/>
      <c r="BK3" s="1452"/>
      <c r="BL3" s="1452"/>
      <c r="BM3" s="1452"/>
      <c r="BN3" s="1452"/>
      <c r="BO3" s="1452"/>
      <c r="BP3" s="1452"/>
      <c r="BQ3" s="1452"/>
      <c r="BR3" s="1452"/>
      <c r="BS3" s="1452"/>
      <c r="BT3" s="1452"/>
      <c r="BU3" s="1452"/>
      <c r="BV3" s="1453"/>
      <c r="BW3" s="1449" t="s">
        <v>136</v>
      </c>
      <c r="BX3" s="1449" t="s">
        <v>137</v>
      </c>
      <c r="BY3" s="1449" t="s">
        <v>138</v>
      </c>
      <c r="BZ3" s="1449" t="s">
        <v>136</v>
      </c>
      <c r="CA3" s="1449" t="s">
        <v>137</v>
      </c>
      <c r="CB3" s="1449" t="s">
        <v>139</v>
      </c>
    </row>
    <row r="4" spans="1:128">
      <c r="A4" s="64"/>
      <c r="B4" s="65"/>
      <c r="C4" s="66" t="s">
        <v>140</v>
      </c>
      <c r="D4" s="66" t="s">
        <v>141</v>
      </c>
      <c r="E4" s="66" t="s">
        <v>142</v>
      </c>
      <c r="F4" s="66" t="s">
        <v>143</v>
      </c>
      <c r="G4" s="66" t="s">
        <v>144</v>
      </c>
      <c r="H4" s="66" t="s">
        <v>290</v>
      </c>
      <c r="I4" s="66"/>
      <c r="J4" s="66"/>
      <c r="K4" s="66"/>
      <c r="L4" s="66"/>
      <c r="M4" s="67" t="s">
        <v>145</v>
      </c>
      <c r="N4" s="68" t="s">
        <v>146</v>
      </c>
      <c r="O4" s="68" t="s">
        <v>147</v>
      </c>
      <c r="P4" s="68" t="s">
        <v>148</v>
      </c>
      <c r="Q4" s="68" t="s">
        <v>148</v>
      </c>
      <c r="R4" s="69" t="s">
        <v>149</v>
      </c>
      <c r="S4" s="70" t="s">
        <v>150</v>
      </c>
      <c r="T4" s="1454" t="s">
        <v>151</v>
      </c>
      <c r="U4" s="1456"/>
      <c r="V4" s="68" t="s">
        <v>152</v>
      </c>
      <c r="W4" s="67" t="s">
        <v>153</v>
      </c>
      <c r="X4" s="67" t="s">
        <v>154</v>
      </c>
      <c r="Y4" s="67" t="s">
        <v>155</v>
      </c>
      <c r="Z4" s="67" t="s">
        <v>100</v>
      </c>
      <c r="AA4" s="67" t="s">
        <v>100</v>
      </c>
      <c r="AB4" s="71" t="s">
        <v>156</v>
      </c>
      <c r="AC4" s="72" t="s">
        <v>157</v>
      </c>
      <c r="AD4" s="73"/>
      <c r="AE4" s="58" t="s">
        <v>158</v>
      </c>
      <c r="AF4" s="58" t="s">
        <v>159</v>
      </c>
      <c r="AG4" s="58" t="s">
        <v>160</v>
      </c>
      <c r="AH4" s="58" t="s">
        <v>161</v>
      </c>
      <c r="AI4" s="58"/>
      <c r="AJ4" s="68" t="s">
        <v>162</v>
      </c>
      <c r="AK4" s="67" t="s">
        <v>163</v>
      </c>
      <c r="AL4" s="67" t="s">
        <v>164</v>
      </c>
      <c r="AM4" s="74" t="s">
        <v>165</v>
      </c>
      <c r="AN4" s="74" t="s">
        <v>166</v>
      </c>
      <c r="AO4" s="74" t="s">
        <v>167</v>
      </c>
      <c r="AP4" s="74" t="s">
        <v>168</v>
      </c>
      <c r="AQ4" s="74" t="s">
        <v>169</v>
      </c>
      <c r="AR4" s="74" t="s">
        <v>170</v>
      </c>
      <c r="AS4" s="74" t="s">
        <v>171</v>
      </c>
      <c r="AT4" s="74" t="s">
        <v>172</v>
      </c>
      <c r="AU4" s="74" t="s">
        <v>173</v>
      </c>
      <c r="AV4" s="74" t="s">
        <v>174</v>
      </c>
      <c r="AW4" s="74" t="s">
        <v>175</v>
      </c>
      <c r="AX4" s="74" t="s">
        <v>176</v>
      </c>
      <c r="AY4" s="74" t="s">
        <v>177</v>
      </c>
      <c r="AZ4" s="74" t="s">
        <v>178</v>
      </c>
      <c r="BA4" s="74" t="s">
        <v>179</v>
      </c>
      <c r="BB4" s="74" t="s">
        <v>180</v>
      </c>
      <c r="BC4" s="74" t="s">
        <v>181</v>
      </c>
      <c r="BD4" s="74" t="s">
        <v>182</v>
      </c>
      <c r="BE4" s="74" t="s">
        <v>183</v>
      </c>
      <c r="BF4" s="74" t="s">
        <v>184</v>
      </c>
      <c r="BG4" s="74" t="s">
        <v>185</v>
      </c>
      <c r="BH4" s="74" t="s">
        <v>186</v>
      </c>
      <c r="BI4" s="74" t="s">
        <v>187</v>
      </c>
      <c r="BJ4" s="74" t="s">
        <v>188</v>
      </c>
      <c r="BK4" s="74" t="s">
        <v>189</v>
      </c>
      <c r="BL4" s="75" t="s">
        <v>190</v>
      </c>
      <c r="BM4" s="75" t="s">
        <v>191</v>
      </c>
      <c r="BN4" s="75" t="s">
        <v>192</v>
      </c>
      <c r="BO4" s="75" t="s">
        <v>193</v>
      </c>
      <c r="BP4" s="75" t="s">
        <v>194</v>
      </c>
      <c r="BQ4" s="75" t="s">
        <v>195</v>
      </c>
      <c r="BR4" s="75" t="s">
        <v>196</v>
      </c>
      <c r="BS4" s="75" t="s">
        <v>197</v>
      </c>
      <c r="BT4" s="75" t="s">
        <v>198</v>
      </c>
      <c r="BU4" s="75" t="s">
        <v>199</v>
      </c>
      <c r="BV4" s="75" t="s">
        <v>200</v>
      </c>
      <c r="BW4" s="1450"/>
      <c r="BX4" s="1450"/>
      <c r="BY4" s="1450"/>
      <c r="BZ4" s="1450"/>
      <c r="CA4" s="1450"/>
      <c r="CB4" s="1450"/>
    </row>
    <row r="5" spans="1:128">
      <c r="A5" s="64"/>
      <c r="B5" s="65"/>
      <c r="C5" s="69" t="s">
        <v>201</v>
      </c>
      <c r="D5" s="69" t="s">
        <v>201</v>
      </c>
      <c r="E5" s="69" t="s">
        <v>201</v>
      </c>
      <c r="F5" s="69" t="s">
        <v>201</v>
      </c>
      <c r="G5" s="69" t="s">
        <v>201</v>
      </c>
      <c r="H5" s="69" t="s">
        <v>201</v>
      </c>
      <c r="I5" s="69"/>
      <c r="J5" s="69"/>
      <c r="K5" s="69"/>
      <c r="L5" s="69"/>
      <c r="M5" s="73" t="s">
        <v>202</v>
      </c>
      <c r="N5" s="76">
        <v>0</v>
      </c>
      <c r="O5" s="76" t="s">
        <v>50</v>
      </c>
      <c r="P5" s="76" t="s">
        <v>203</v>
      </c>
      <c r="Q5" s="76" t="s">
        <v>204</v>
      </c>
      <c r="R5" s="77" t="s">
        <v>205</v>
      </c>
      <c r="S5" s="78" t="s">
        <v>206</v>
      </c>
      <c r="T5" s="75" t="s">
        <v>299</v>
      </c>
      <c r="U5" s="75" t="s">
        <v>300</v>
      </c>
      <c r="V5" s="75"/>
      <c r="W5" s="75">
        <v>3</v>
      </c>
      <c r="X5" s="75"/>
      <c r="Y5" s="75"/>
      <c r="Z5" s="75" t="s">
        <v>270</v>
      </c>
      <c r="AA5" s="75"/>
      <c r="AB5" s="64"/>
      <c r="AC5" s="65"/>
      <c r="AD5" s="64"/>
      <c r="AE5" s="73" t="s">
        <v>207</v>
      </c>
      <c r="AF5" s="73" t="s">
        <v>207</v>
      </c>
      <c r="AG5" s="73" t="s">
        <v>294</v>
      </c>
      <c r="AH5" s="76" t="s">
        <v>295</v>
      </c>
      <c r="AI5" s="76"/>
      <c r="AJ5" s="76">
        <v>1</v>
      </c>
      <c r="AK5" s="73">
        <v>2</v>
      </c>
      <c r="AL5" s="73"/>
      <c r="AM5" s="69">
        <f>3.7*3.5</f>
        <v>12.950000000000001</v>
      </c>
      <c r="AN5" s="69">
        <f>3.8*3.5</f>
        <v>13.299999999999999</v>
      </c>
      <c r="AO5" s="69">
        <f>0.9*2.05</f>
        <v>1.845</v>
      </c>
      <c r="AP5" s="69">
        <f>4.58*3.5</f>
        <v>16.03</v>
      </c>
      <c r="AQ5" s="69">
        <f>1.1*2.5</f>
        <v>2.75</v>
      </c>
      <c r="AR5" s="69">
        <f>0.9*2.05</f>
        <v>1.845</v>
      </c>
      <c r="AS5" s="69">
        <f>1.5*2</f>
        <v>3</v>
      </c>
      <c r="AT5" s="69">
        <f>2.85*3.5</f>
        <v>9.9749999999999996</v>
      </c>
      <c r="AU5" s="69">
        <f>2.7*3.5</f>
        <v>9.4500000000000011</v>
      </c>
      <c r="AV5" s="69">
        <f>1.5*2.5</f>
        <v>3.75</v>
      </c>
      <c r="AW5" s="69">
        <f>1.1*2.5</f>
        <v>2.75</v>
      </c>
      <c r="AX5" s="69">
        <f>10.7*3.5</f>
        <v>37.449999999999996</v>
      </c>
      <c r="AY5" s="69">
        <f>1.1*2</f>
        <v>2.2000000000000002</v>
      </c>
      <c r="AZ5" s="69">
        <f>1.7*2.5</f>
        <v>4.25</v>
      </c>
      <c r="BA5" s="69"/>
      <c r="BB5" s="69"/>
      <c r="BC5" s="69"/>
      <c r="BD5" s="69">
        <f>12.95*7.5</f>
        <v>97.125</v>
      </c>
      <c r="BE5" s="69">
        <f>4.58*3</f>
        <v>13.74</v>
      </c>
      <c r="BF5" s="69">
        <f>4.4*1.6</f>
        <v>7.0400000000000009</v>
      </c>
      <c r="BG5" s="69">
        <f>2.95*1.6</f>
        <v>4.7200000000000006</v>
      </c>
      <c r="BH5" s="69">
        <f>2.65*0.5</f>
        <v>1.325</v>
      </c>
      <c r="BI5" s="69">
        <f>1.35*0.5</f>
        <v>0.67500000000000004</v>
      </c>
      <c r="BJ5" s="69">
        <f>0.4*12.5</f>
        <v>5</v>
      </c>
      <c r="BK5" s="69">
        <f>1.35*12</f>
        <v>16.200000000000003</v>
      </c>
      <c r="BL5" s="69">
        <f>3.7*3.5</f>
        <v>12.950000000000001</v>
      </c>
      <c r="BM5" s="69">
        <f>1.5*1.6</f>
        <v>2.4000000000000004</v>
      </c>
      <c r="BN5" s="69"/>
      <c r="BO5" s="69"/>
      <c r="BP5" s="69"/>
      <c r="BQ5" s="69"/>
      <c r="BR5" s="69"/>
      <c r="BS5" s="69"/>
      <c r="BT5" s="69"/>
      <c r="BU5" s="69"/>
      <c r="BV5" s="69"/>
      <c r="BW5" s="1454" t="s">
        <v>208</v>
      </c>
      <c r="BX5" s="1456"/>
      <c r="BY5" s="79"/>
      <c r="BZ5" s="1454" t="s">
        <v>209</v>
      </c>
      <c r="CA5" s="1456"/>
      <c r="CB5" s="80"/>
    </row>
    <row r="6" spans="1:128">
      <c r="A6" s="64"/>
      <c r="B6" s="65"/>
      <c r="C6" s="73" t="s">
        <v>210</v>
      </c>
      <c r="D6" s="73" t="s">
        <v>212</v>
      </c>
      <c r="E6" s="73" t="s">
        <v>211</v>
      </c>
      <c r="F6" s="73" t="s">
        <v>274</v>
      </c>
      <c r="G6" s="73" t="s">
        <v>213</v>
      </c>
      <c r="H6" s="73" t="s">
        <v>291</v>
      </c>
      <c r="I6" s="73"/>
      <c r="J6" s="73"/>
      <c r="K6" s="73"/>
      <c r="L6" s="73"/>
      <c r="M6" s="64"/>
      <c r="N6" s="65"/>
      <c r="O6" s="65"/>
      <c r="P6" s="76" t="s">
        <v>57</v>
      </c>
      <c r="Q6" s="73" t="s">
        <v>58</v>
      </c>
      <c r="R6" s="73" t="s">
        <v>53</v>
      </c>
      <c r="S6" s="81" t="s">
        <v>301</v>
      </c>
      <c r="T6" s="73" t="s">
        <v>214</v>
      </c>
      <c r="U6" s="73" t="s">
        <v>215</v>
      </c>
      <c r="V6" s="73"/>
      <c r="W6" s="73" t="s">
        <v>216</v>
      </c>
      <c r="X6" s="73"/>
      <c r="Y6" s="73"/>
      <c r="Z6" s="73"/>
      <c r="AA6" s="73"/>
      <c r="AB6" s="64"/>
      <c r="AC6" s="65"/>
      <c r="AD6" s="64"/>
      <c r="AE6" s="73"/>
      <c r="AF6" s="73" t="s">
        <v>217</v>
      </c>
      <c r="AG6" s="76"/>
      <c r="AH6" s="76"/>
      <c r="AI6" s="76"/>
      <c r="AJ6" s="76"/>
      <c r="AK6" s="73"/>
      <c r="AL6" s="73"/>
      <c r="AM6" s="77">
        <v>3.7</v>
      </c>
      <c r="AN6" s="77">
        <v>3.8</v>
      </c>
      <c r="AO6" s="77">
        <v>0.9</v>
      </c>
      <c r="AP6" s="77">
        <v>4.58</v>
      </c>
      <c r="AQ6" s="77">
        <v>1.1000000000000001</v>
      </c>
      <c r="AR6" s="77">
        <v>0.9</v>
      </c>
      <c r="AS6" s="77">
        <v>1.5</v>
      </c>
      <c r="AT6" s="77">
        <v>2.85</v>
      </c>
      <c r="AU6" s="77">
        <v>2.7</v>
      </c>
      <c r="AV6" s="77">
        <v>1.5</v>
      </c>
      <c r="AW6" s="77">
        <v>1.1000000000000001</v>
      </c>
      <c r="AX6" s="77">
        <v>10.7</v>
      </c>
      <c r="AY6" s="77">
        <v>1.1000000000000001</v>
      </c>
      <c r="AZ6" s="77">
        <v>1.7</v>
      </c>
      <c r="BA6" s="77"/>
      <c r="BB6" s="77"/>
      <c r="BC6" s="77"/>
      <c r="BD6" s="77">
        <f>12.95*2</f>
        <v>25.9</v>
      </c>
      <c r="BE6" s="77">
        <f>4.58*2</f>
        <v>9.16</v>
      </c>
      <c r="BF6" s="77">
        <f>4.4*2</f>
        <v>8.8000000000000007</v>
      </c>
      <c r="BG6" s="77">
        <f>2.95*2</f>
        <v>5.9</v>
      </c>
      <c r="BH6" s="77">
        <f>2.65*2</f>
        <v>5.3</v>
      </c>
      <c r="BI6" s="77">
        <f>1.35*2</f>
        <v>2.7</v>
      </c>
      <c r="BJ6" s="77">
        <f>0.4*2</f>
        <v>0.8</v>
      </c>
      <c r="BK6" s="77">
        <f>1.35*2</f>
        <v>2.7</v>
      </c>
      <c r="BL6" s="77">
        <f>3.7*2</f>
        <v>7.4</v>
      </c>
      <c r="BM6" s="77">
        <f>1.5*2</f>
        <v>3</v>
      </c>
      <c r="BN6" s="77"/>
      <c r="BO6" s="77"/>
      <c r="BP6" s="77"/>
      <c r="BQ6" s="77"/>
      <c r="BR6" s="77"/>
      <c r="BS6" s="77"/>
      <c r="BT6" s="77"/>
      <c r="BU6" s="77"/>
      <c r="BV6" s="77"/>
      <c r="BW6" s="64"/>
      <c r="BX6" s="64"/>
      <c r="BY6" s="64"/>
      <c r="BZ6" s="64"/>
      <c r="CA6" s="64"/>
      <c r="CB6" s="64"/>
    </row>
    <row r="7" spans="1:128">
      <c r="A7" s="64"/>
      <c r="B7" s="65"/>
      <c r="C7" s="73"/>
      <c r="D7" s="73" t="s">
        <v>279</v>
      </c>
      <c r="E7" s="73" t="s">
        <v>218</v>
      </c>
      <c r="F7" s="73" t="s">
        <v>216</v>
      </c>
      <c r="G7" s="73"/>
      <c r="H7" s="73" t="s">
        <v>292</v>
      </c>
      <c r="I7" s="73"/>
      <c r="J7" s="73"/>
      <c r="K7" s="73"/>
      <c r="L7" s="73"/>
      <c r="M7" s="64"/>
      <c r="N7" s="65"/>
      <c r="O7" s="65"/>
      <c r="P7" s="76"/>
      <c r="Q7" s="76"/>
      <c r="R7" s="73"/>
      <c r="S7" s="81"/>
      <c r="T7" s="73"/>
      <c r="U7" s="73"/>
      <c r="V7" s="73"/>
      <c r="W7" s="73"/>
      <c r="X7" s="73"/>
      <c r="Y7" s="73"/>
      <c r="Z7" s="73"/>
      <c r="AA7" s="73"/>
      <c r="AB7" s="64"/>
      <c r="AC7" s="65"/>
      <c r="AD7" s="64"/>
      <c r="AE7" s="73"/>
      <c r="AF7" s="73"/>
      <c r="AG7" s="76"/>
      <c r="AH7" s="76"/>
      <c r="AI7" s="76"/>
      <c r="AJ7" s="76"/>
      <c r="AK7" s="73"/>
      <c r="AL7" s="73"/>
      <c r="AM7" s="77">
        <f>3.5*2</f>
        <v>7</v>
      </c>
      <c r="AN7" s="77">
        <f>3.5*2</f>
        <v>7</v>
      </c>
      <c r="AO7" s="77">
        <f>2.05*2</f>
        <v>4.0999999999999996</v>
      </c>
      <c r="AP7" s="77">
        <f>3.5*2</f>
        <v>7</v>
      </c>
      <c r="AQ7" s="77">
        <f>2.5*2</f>
        <v>5</v>
      </c>
      <c r="AR7" s="77">
        <f>2.05*2</f>
        <v>4.0999999999999996</v>
      </c>
      <c r="AS7" s="77">
        <f>2*2</f>
        <v>4</v>
      </c>
      <c r="AT7" s="77">
        <f>3.5*2</f>
        <v>7</v>
      </c>
      <c r="AU7" s="77">
        <f>3.5*2</f>
        <v>7</v>
      </c>
      <c r="AV7" s="77">
        <f>2.5*2</f>
        <v>5</v>
      </c>
      <c r="AW7" s="77">
        <f>2.5*2</f>
        <v>5</v>
      </c>
      <c r="AX7" s="77">
        <f>3.5*2</f>
        <v>7</v>
      </c>
      <c r="AY7" s="77">
        <f>2*2</f>
        <v>4</v>
      </c>
      <c r="AZ7" s="77">
        <f>2.5*2</f>
        <v>5</v>
      </c>
      <c r="BA7" s="77"/>
      <c r="BB7" s="77"/>
      <c r="BC7" s="77"/>
      <c r="BD7" s="77">
        <f>7.5*2</f>
        <v>15</v>
      </c>
      <c r="BE7" s="77">
        <f>3*2</f>
        <v>6</v>
      </c>
      <c r="BF7" s="77">
        <f>1.6*2</f>
        <v>3.2</v>
      </c>
      <c r="BG7" s="77">
        <f>1.6*2</f>
        <v>3.2</v>
      </c>
      <c r="BH7" s="77">
        <f>0.5*2</f>
        <v>1</v>
      </c>
      <c r="BI7" s="77">
        <f>0.5*2</f>
        <v>1</v>
      </c>
      <c r="BJ7" s="77">
        <f>12.5*2</f>
        <v>25</v>
      </c>
      <c r="BK7" s="77">
        <f>12*2</f>
        <v>24</v>
      </c>
      <c r="BL7" s="77">
        <f>3.5*2</f>
        <v>7</v>
      </c>
      <c r="BM7" s="77">
        <f>1.6*2</f>
        <v>3.2</v>
      </c>
      <c r="BN7" s="77"/>
      <c r="BO7" s="77"/>
      <c r="BP7" s="77"/>
      <c r="BQ7" s="77"/>
      <c r="BR7" s="77"/>
      <c r="BS7" s="77"/>
      <c r="BT7" s="77"/>
      <c r="BU7" s="77"/>
      <c r="BV7" s="77"/>
      <c r="BW7" s="64"/>
      <c r="BX7" s="64"/>
      <c r="BY7" s="64"/>
      <c r="BZ7" s="64"/>
      <c r="CA7" s="64"/>
      <c r="CB7" s="64"/>
    </row>
    <row r="8" spans="1:128">
      <c r="A8" s="82"/>
      <c r="B8" s="83"/>
      <c r="C8" s="84" t="s">
        <v>219</v>
      </c>
      <c r="D8" s="84" t="s">
        <v>219</v>
      </c>
      <c r="E8" s="84" t="s">
        <v>219</v>
      </c>
      <c r="F8" s="84" t="s">
        <v>219</v>
      </c>
      <c r="G8" s="84" t="s">
        <v>219</v>
      </c>
      <c r="H8" s="84" t="s">
        <v>219</v>
      </c>
      <c r="I8" s="84" t="s">
        <v>219</v>
      </c>
      <c r="J8" s="84" t="s">
        <v>219</v>
      </c>
      <c r="K8" s="84" t="s">
        <v>219</v>
      </c>
      <c r="L8" s="84" t="s">
        <v>219</v>
      </c>
      <c r="M8" s="84" t="s">
        <v>219</v>
      </c>
      <c r="N8" s="85" t="s">
        <v>219</v>
      </c>
      <c r="O8" s="85" t="s">
        <v>219</v>
      </c>
      <c r="P8" s="85" t="s">
        <v>219</v>
      </c>
      <c r="Q8" s="85" t="s">
        <v>219</v>
      </c>
      <c r="R8" s="84" t="s">
        <v>219</v>
      </c>
      <c r="S8" s="86" t="s">
        <v>219</v>
      </c>
      <c r="T8" s="84" t="s">
        <v>219</v>
      </c>
      <c r="U8" s="84" t="s">
        <v>219</v>
      </c>
      <c r="V8" s="84" t="s">
        <v>219</v>
      </c>
      <c r="W8" s="84" t="s">
        <v>219</v>
      </c>
      <c r="X8" s="84" t="s">
        <v>219</v>
      </c>
      <c r="Y8" s="84" t="s">
        <v>219</v>
      </c>
      <c r="Z8" s="84" t="s">
        <v>219</v>
      </c>
      <c r="AA8" s="84" t="s">
        <v>219</v>
      </c>
      <c r="AB8" s="84" t="s">
        <v>220</v>
      </c>
      <c r="AC8" s="85" t="s">
        <v>220</v>
      </c>
      <c r="AD8" s="84" t="s">
        <v>220</v>
      </c>
      <c r="AE8" s="84" t="s">
        <v>219</v>
      </c>
      <c r="AF8" s="84" t="s">
        <v>219</v>
      </c>
      <c r="AG8" s="84" t="s">
        <v>219</v>
      </c>
      <c r="AH8" s="84" t="s">
        <v>219</v>
      </c>
      <c r="AI8" s="84" t="s">
        <v>219</v>
      </c>
      <c r="AJ8" s="85" t="s">
        <v>219</v>
      </c>
      <c r="AK8" s="84" t="s">
        <v>219</v>
      </c>
      <c r="AL8" s="84" t="s">
        <v>219</v>
      </c>
      <c r="AM8" s="84" t="s">
        <v>221</v>
      </c>
      <c r="AN8" s="84" t="s">
        <v>221</v>
      </c>
      <c r="AO8" s="84" t="s">
        <v>221</v>
      </c>
      <c r="AP8" s="84" t="s">
        <v>221</v>
      </c>
      <c r="AQ8" s="84" t="s">
        <v>221</v>
      </c>
      <c r="AR8" s="84" t="s">
        <v>221</v>
      </c>
      <c r="AS8" s="84" t="s">
        <v>221</v>
      </c>
      <c r="AT8" s="74" t="s">
        <v>221</v>
      </c>
      <c r="AU8" s="74" t="s">
        <v>221</v>
      </c>
      <c r="AV8" s="74" t="s">
        <v>221</v>
      </c>
      <c r="AW8" s="74" t="s">
        <v>221</v>
      </c>
      <c r="AX8" s="74" t="s">
        <v>221</v>
      </c>
      <c r="AY8" s="74" t="s">
        <v>221</v>
      </c>
      <c r="AZ8" s="74" t="s">
        <v>221</v>
      </c>
      <c r="BA8" s="74" t="s">
        <v>221</v>
      </c>
      <c r="BB8" s="74" t="s">
        <v>221</v>
      </c>
      <c r="BC8" s="74" t="s">
        <v>221</v>
      </c>
      <c r="BD8" s="84" t="s">
        <v>221</v>
      </c>
      <c r="BE8" s="84" t="s">
        <v>221</v>
      </c>
      <c r="BF8" s="84" t="s">
        <v>221</v>
      </c>
      <c r="BG8" s="84" t="s">
        <v>221</v>
      </c>
      <c r="BH8" s="84" t="s">
        <v>221</v>
      </c>
      <c r="BI8" s="84" t="s">
        <v>221</v>
      </c>
      <c r="BJ8" s="84" t="s">
        <v>221</v>
      </c>
      <c r="BK8" s="74" t="s">
        <v>221</v>
      </c>
      <c r="BL8" s="74" t="s">
        <v>221</v>
      </c>
      <c r="BM8" s="74" t="s">
        <v>221</v>
      </c>
      <c r="BN8" s="74" t="s">
        <v>221</v>
      </c>
      <c r="BO8" s="74" t="s">
        <v>221</v>
      </c>
      <c r="BP8" s="74" t="s">
        <v>221</v>
      </c>
      <c r="BQ8" s="74" t="s">
        <v>221</v>
      </c>
      <c r="BR8" s="74" t="s">
        <v>221</v>
      </c>
      <c r="BS8" s="74" t="s">
        <v>221</v>
      </c>
      <c r="BT8" s="74" t="s">
        <v>221</v>
      </c>
      <c r="BU8" s="74" t="s">
        <v>221</v>
      </c>
      <c r="BV8" s="74" t="s">
        <v>221</v>
      </c>
      <c r="BW8" s="84" t="s">
        <v>219</v>
      </c>
      <c r="BX8" s="84" t="s">
        <v>220</v>
      </c>
      <c r="BY8" s="84" t="s">
        <v>219</v>
      </c>
      <c r="BZ8" s="84" t="s">
        <v>219</v>
      </c>
      <c r="CA8" s="84" t="s">
        <v>220</v>
      </c>
      <c r="CB8" s="84" t="s">
        <v>220</v>
      </c>
    </row>
    <row r="9" spans="1:128" ht="23.25">
      <c r="A9" s="87"/>
      <c r="B9" s="88"/>
      <c r="C9" s="89"/>
      <c r="D9" s="89"/>
      <c r="E9" s="90"/>
      <c r="F9" s="90"/>
      <c r="G9" s="90"/>
      <c r="H9" s="90"/>
      <c r="I9" s="91"/>
      <c r="J9" s="91"/>
      <c r="K9" s="91"/>
      <c r="L9" s="91"/>
      <c r="M9" s="92"/>
      <c r="N9" s="93"/>
      <c r="O9" s="93"/>
      <c r="P9" s="94"/>
      <c r="Q9" s="94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95"/>
      <c r="AE9" s="94"/>
      <c r="AF9" s="94"/>
      <c r="AG9" s="94"/>
      <c r="AH9" s="94"/>
      <c r="AI9" s="94"/>
      <c r="AJ9" s="94"/>
      <c r="AK9" s="89"/>
      <c r="AL9" s="95"/>
      <c r="AM9" s="96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8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87"/>
      <c r="BX9" s="87"/>
      <c r="BY9" s="87"/>
      <c r="BZ9" s="87"/>
      <c r="CA9" s="87"/>
      <c r="CB9" s="87"/>
      <c r="CC9" s="54"/>
      <c r="CD9" s="54"/>
      <c r="CE9" s="54"/>
      <c r="CF9" s="54" t="s">
        <v>222</v>
      </c>
      <c r="CG9" s="54" t="s">
        <v>223</v>
      </c>
      <c r="CH9" s="54" t="s">
        <v>273</v>
      </c>
      <c r="CI9" s="54" t="s">
        <v>323</v>
      </c>
      <c r="CJ9" s="100"/>
      <c r="CK9" s="54"/>
      <c r="CL9" s="54"/>
      <c r="CM9" s="54"/>
      <c r="CN9" s="54"/>
      <c r="CO9" s="54" t="s">
        <v>222</v>
      </c>
      <c r="CP9" s="54" t="s">
        <v>223</v>
      </c>
      <c r="CQ9" s="54" t="s">
        <v>273</v>
      </c>
      <c r="CR9" s="100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6"/>
      <c r="DU9" s="56"/>
      <c r="DV9" s="56"/>
      <c r="DW9" s="56"/>
      <c r="DX9" s="56"/>
    </row>
    <row r="10" spans="1:128">
      <c r="A10" s="101"/>
      <c r="B10" s="102" t="s">
        <v>224</v>
      </c>
      <c r="C10" s="103"/>
      <c r="D10" s="103"/>
      <c r="E10" s="104"/>
      <c r="F10" s="104"/>
      <c r="G10" s="104"/>
      <c r="H10" s="104"/>
      <c r="I10" s="105"/>
      <c r="J10" s="105"/>
      <c r="K10" s="105"/>
      <c r="L10" s="105"/>
      <c r="M10" s="106"/>
      <c r="N10" s="107"/>
      <c r="O10" s="107"/>
      <c r="P10" s="108"/>
      <c r="Q10" s="108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9"/>
      <c r="AE10" s="110"/>
      <c r="AF10" s="110"/>
      <c r="AG10" s="110"/>
      <c r="AH10" s="110"/>
      <c r="AI10" s="110"/>
      <c r="AJ10" s="110"/>
      <c r="AK10" s="111"/>
      <c r="AL10" s="112"/>
      <c r="AM10" s="113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5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14"/>
      <c r="BX10" s="114"/>
      <c r="BY10" s="114"/>
      <c r="BZ10" s="114"/>
      <c r="CA10" s="114"/>
      <c r="CB10" s="114"/>
      <c r="CD10" s="115" t="s">
        <v>165</v>
      </c>
      <c r="CE10" s="62" t="s">
        <v>302</v>
      </c>
      <c r="CF10" s="116">
        <f>AM36</f>
        <v>2</v>
      </c>
      <c r="CG10" s="116">
        <f>AM58</f>
        <v>0</v>
      </c>
      <c r="CH10" s="116">
        <f>AM80</f>
        <v>0</v>
      </c>
      <c r="CI10" s="116">
        <f>AM91</f>
        <v>0</v>
      </c>
      <c r="CJ10" s="116">
        <f>ROUNDUP(AM5*5000,0)</f>
        <v>64750</v>
      </c>
      <c r="CK10" s="116"/>
      <c r="CL10" s="116">
        <f>(CF10+CG10+CH10+CI10)*CJ10</f>
        <v>129500</v>
      </c>
      <c r="CM10" s="117" t="s">
        <v>182</v>
      </c>
      <c r="CN10" s="62" t="s">
        <v>313</v>
      </c>
      <c r="CO10" s="116">
        <f>BD36</f>
        <v>1</v>
      </c>
      <c r="CP10" s="116">
        <f>BD58</f>
        <v>0</v>
      </c>
      <c r="CQ10" s="116">
        <f>BD80</f>
        <v>0</v>
      </c>
      <c r="CR10" s="116">
        <f>ROUNDUP(BD5*3500,0)</f>
        <v>339938</v>
      </c>
      <c r="CS10" s="116">
        <f>(CO10+CP10+CQ10)*CR10</f>
        <v>339938</v>
      </c>
    </row>
    <row r="11" spans="1:128">
      <c r="A11" s="101"/>
      <c r="B11" s="118"/>
      <c r="C11" s="119"/>
      <c r="D11" s="119"/>
      <c r="E11" s="120"/>
      <c r="F11" s="120"/>
      <c r="G11" s="120"/>
      <c r="H11" s="120"/>
      <c r="I11" s="121"/>
      <c r="J11" s="121"/>
      <c r="K11" s="121"/>
      <c r="L11" s="121"/>
      <c r="M11" s="122"/>
      <c r="N11" s="123"/>
      <c r="O11" s="123"/>
      <c r="P11" s="124"/>
      <c r="Q11" s="124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25"/>
      <c r="AE11" s="126"/>
      <c r="AF11" s="126"/>
      <c r="AG11" s="126"/>
      <c r="AH11" s="126"/>
      <c r="AI11" s="126"/>
      <c r="AJ11" s="126"/>
      <c r="AK11" s="127"/>
      <c r="AL11" s="128"/>
      <c r="AM11" s="118"/>
      <c r="AN11" s="120"/>
      <c r="AO11" s="120"/>
      <c r="AP11" s="120"/>
      <c r="AQ11" s="120"/>
      <c r="AR11" s="120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20"/>
      <c r="BE11" s="120"/>
      <c r="BF11" s="120"/>
      <c r="BG11" s="120"/>
      <c r="BH11" s="120"/>
      <c r="BI11" s="120"/>
      <c r="BJ11" s="120"/>
      <c r="BK11" s="121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9"/>
      <c r="BX11" s="129"/>
      <c r="BY11" s="129"/>
      <c r="BZ11" s="129"/>
      <c r="CA11" s="129"/>
      <c r="CB11" s="129"/>
      <c r="CD11" s="115" t="s">
        <v>166</v>
      </c>
      <c r="CE11" s="62" t="s">
        <v>303</v>
      </c>
      <c r="CF11" s="116">
        <f>AN36</f>
        <v>1</v>
      </c>
      <c r="CG11" s="116">
        <f>AN58</f>
        <v>1</v>
      </c>
      <c r="CH11" s="116">
        <f>AN80</f>
        <v>1</v>
      </c>
      <c r="CI11" s="116">
        <f>AN91</f>
        <v>0</v>
      </c>
      <c r="CJ11" s="116">
        <f>AN5*2500</f>
        <v>33250</v>
      </c>
      <c r="CL11" s="116">
        <f t="shared" ref="CL11:CL23" si="0">(CF11+CG11+CH11+CI11)*CJ11</f>
        <v>99750</v>
      </c>
      <c r="CM11" s="117" t="s">
        <v>183</v>
      </c>
      <c r="CN11" s="62" t="s">
        <v>319</v>
      </c>
      <c r="CO11" s="116">
        <f>BE36</f>
        <v>1</v>
      </c>
      <c r="CP11" s="116">
        <f>BE58</f>
        <v>0</v>
      </c>
      <c r="CQ11" s="116">
        <f>BE80</f>
        <v>2</v>
      </c>
      <c r="CR11" s="116">
        <f>BE5*2500</f>
        <v>34350</v>
      </c>
      <c r="CS11" s="116">
        <f t="shared" ref="CS11:CS19" si="1">(CO11+CP11+CQ11)*CR11</f>
        <v>103050</v>
      </c>
    </row>
    <row r="12" spans="1:128">
      <c r="A12" s="101">
        <v>1</v>
      </c>
      <c r="B12" s="118" t="s">
        <v>250</v>
      </c>
      <c r="C12" s="119">
        <v>107</v>
      </c>
      <c r="D12" s="119"/>
      <c r="E12" s="120"/>
      <c r="F12" s="120"/>
      <c r="G12" s="120"/>
      <c r="H12" s="120"/>
      <c r="I12" s="121"/>
      <c r="J12" s="121"/>
      <c r="K12" s="121"/>
      <c r="L12" s="121"/>
      <c r="M12" s="125">
        <f t="shared" ref="M12:M23" si="2">SUM(E12,F12)</f>
        <v>0</v>
      </c>
      <c r="N12" s="130"/>
      <c r="O12" s="130"/>
      <c r="P12" s="124"/>
      <c r="Q12" s="124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5"/>
      <c r="AE12" s="126"/>
      <c r="AF12" s="126">
        <f>C12</f>
        <v>107</v>
      </c>
      <c r="AG12" s="126"/>
      <c r="AH12" s="126"/>
      <c r="AI12" s="126"/>
      <c r="AJ12" s="126"/>
      <c r="AK12" s="127"/>
      <c r="AL12" s="128">
        <f t="shared" ref="AL12:AL29" si="3">SUM(AE12:AI12)</f>
        <v>107</v>
      </c>
      <c r="AM12" s="119"/>
      <c r="AN12" s="120"/>
      <c r="AO12" s="120"/>
      <c r="AP12" s="120"/>
      <c r="AQ12" s="120"/>
      <c r="AR12" s="120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20"/>
      <c r="BE12" s="120"/>
      <c r="BF12" s="120"/>
      <c r="BG12" s="120"/>
      <c r="BH12" s="120"/>
      <c r="BI12" s="120"/>
      <c r="BJ12" s="120"/>
      <c r="BK12" s="121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9"/>
      <c r="BX12" s="129"/>
      <c r="BY12" s="129"/>
      <c r="BZ12" s="129"/>
      <c r="CA12" s="129"/>
      <c r="CB12" s="129"/>
      <c r="CD12" s="115" t="s">
        <v>167</v>
      </c>
      <c r="CE12" s="62" t="s">
        <v>304</v>
      </c>
      <c r="CF12" s="116">
        <f>AO36</f>
        <v>1</v>
      </c>
      <c r="CG12" s="116">
        <f>AO58</f>
        <v>0</v>
      </c>
      <c r="CH12" s="116">
        <f>AO80</f>
        <v>0</v>
      </c>
      <c r="CI12" s="116">
        <f>AO91</f>
        <v>0</v>
      </c>
      <c r="CJ12" s="116">
        <f>ROUND(AO5*4500,0)</f>
        <v>8303</v>
      </c>
      <c r="CK12" s="216">
        <v>500</v>
      </c>
      <c r="CL12" s="116">
        <f t="shared" si="0"/>
        <v>8303</v>
      </c>
      <c r="CM12" s="117" t="s">
        <v>184</v>
      </c>
      <c r="CN12" s="62" t="s">
        <v>318</v>
      </c>
      <c r="CO12" s="116">
        <f>BF36</f>
        <v>5</v>
      </c>
      <c r="CP12" s="116">
        <f>BF58</f>
        <v>7</v>
      </c>
      <c r="CQ12" s="116">
        <f>BF80</f>
        <v>4</v>
      </c>
      <c r="CR12" s="116">
        <f>BF5*2500</f>
        <v>17600.000000000004</v>
      </c>
      <c r="CS12" s="116">
        <f t="shared" si="1"/>
        <v>281600.00000000006</v>
      </c>
    </row>
    <row r="13" spans="1:128">
      <c r="A13" s="101">
        <v>2</v>
      </c>
      <c r="B13" s="118" t="s">
        <v>251</v>
      </c>
      <c r="C13" s="119"/>
      <c r="D13" s="119">
        <f>100*1.2</f>
        <v>120</v>
      </c>
      <c r="E13" s="120"/>
      <c r="F13" s="120"/>
      <c r="G13" s="120"/>
      <c r="H13" s="120"/>
      <c r="I13" s="121"/>
      <c r="J13" s="121"/>
      <c r="K13" s="121"/>
      <c r="L13" s="121"/>
      <c r="M13" s="125">
        <f t="shared" si="2"/>
        <v>0</v>
      </c>
      <c r="N13" s="130"/>
      <c r="O13" s="130"/>
      <c r="P13" s="124"/>
      <c r="Q13" s="124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25"/>
      <c r="AE13" s="126">
        <f>D13</f>
        <v>120</v>
      </c>
      <c r="AF13" s="126"/>
      <c r="AG13" s="126"/>
      <c r="AH13" s="126"/>
      <c r="AI13" s="126"/>
      <c r="AJ13" s="126"/>
      <c r="AK13" s="127"/>
      <c r="AL13" s="128">
        <f t="shared" si="3"/>
        <v>120</v>
      </c>
      <c r="AM13" s="118">
        <v>2</v>
      </c>
      <c r="AN13" s="120"/>
      <c r="AO13" s="120">
        <v>1</v>
      </c>
      <c r="AP13" s="120"/>
      <c r="AQ13" s="120"/>
      <c r="AR13" s="120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20">
        <v>1</v>
      </c>
      <c r="BE13" s="120"/>
      <c r="BF13" s="120"/>
      <c r="BG13" s="120"/>
      <c r="BH13" s="120"/>
      <c r="BI13" s="120"/>
      <c r="BJ13" s="120"/>
      <c r="BK13" s="121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9"/>
      <c r="BX13" s="129"/>
      <c r="BY13" s="129"/>
      <c r="BZ13" s="129"/>
      <c r="CA13" s="129"/>
      <c r="CB13" s="129"/>
      <c r="CD13" s="115" t="s">
        <v>168</v>
      </c>
      <c r="CE13" s="62" t="s">
        <v>305</v>
      </c>
      <c r="CF13" s="116">
        <f>AP36</f>
        <v>2</v>
      </c>
      <c r="CG13" s="116">
        <f>AP58</f>
        <v>0</v>
      </c>
      <c r="CH13" s="116">
        <f>AP80</f>
        <v>0</v>
      </c>
      <c r="CI13" s="116">
        <f>AP91</f>
        <v>0</v>
      </c>
      <c r="CJ13" s="116">
        <f>AP5*4500</f>
        <v>72135</v>
      </c>
      <c r="CK13" s="216"/>
      <c r="CL13" s="116">
        <f t="shared" si="0"/>
        <v>144270</v>
      </c>
      <c r="CM13" s="117" t="s">
        <v>185</v>
      </c>
      <c r="CN13" s="62" t="s">
        <v>321</v>
      </c>
      <c r="CO13" s="116">
        <f>BG36</f>
        <v>1</v>
      </c>
      <c r="CP13" s="116">
        <f>BG58</f>
        <v>5</v>
      </c>
      <c r="CQ13" s="116">
        <f>BG80</f>
        <v>3</v>
      </c>
      <c r="CR13" s="116">
        <f>BG5*2500</f>
        <v>11800.000000000002</v>
      </c>
      <c r="CS13" s="116">
        <f t="shared" si="1"/>
        <v>106200.00000000001</v>
      </c>
    </row>
    <row r="14" spans="1:128">
      <c r="A14" s="101">
        <v>3</v>
      </c>
      <c r="B14" s="118" t="s">
        <v>252</v>
      </c>
      <c r="C14" s="119">
        <v>45</v>
      </c>
      <c r="D14" s="119"/>
      <c r="E14" s="120"/>
      <c r="F14" s="120"/>
      <c r="G14" s="120"/>
      <c r="H14" s="120"/>
      <c r="I14" s="121"/>
      <c r="J14" s="121"/>
      <c r="K14" s="121"/>
      <c r="L14" s="121"/>
      <c r="M14" s="125">
        <f t="shared" si="2"/>
        <v>0</v>
      </c>
      <c r="N14" s="130"/>
      <c r="O14" s="130"/>
      <c r="P14" s="124"/>
      <c r="Q14" s="124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25"/>
      <c r="AE14" s="126">
        <f>C14</f>
        <v>45</v>
      </c>
      <c r="AF14" s="126"/>
      <c r="AG14" s="126"/>
      <c r="AH14" s="126"/>
      <c r="AI14" s="126"/>
      <c r="AJ14" s="126"/>
      <c r="AK14" s="127"/>
      <c r="AL14" s="128">
        <f t="shared" si="3"/>
        <v>45</v>
      </c>
      <c r="AM14" s="118"/>
      <c r="AN14" s="120"/>
      <c r="AO14" s="120"/>
      <c r="AP14" s="120">
        <v>2</v>
      </c>
      <c r="AQ14" s="120"/>
      <c r="AR14" s="120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20"/>
      <c r="BE14" s="120">
        <v>1</v>
      </c>
      <c r="BF14" s="120"/>
      <c r="BG14" s="120"/>
      <c r="BH14" s="120"/>
      <c r="BI14" s="120"/>
      <c r="BJ14" s="120"/>
      <c r="BK14" s="121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31"/>
      <c r="BX14" s="131"/>
      <c r="BY14" s="131"/>
      <c r="BZ14" s="131"/>
      <c r="CA14" s="131"/>
      <c r="CB14" s="131"/>
      <c r="CD14" s="115" t="s">
        <v>169</v>
      </c>
      <c r="CE14" s="62" t="s">
        <v>306</v>
      </c>
      <c r="CF14" s="116">
        <f>AQ36</f>
        <v>5</v>
      </c>
      <c r="CG14" s="116">
        <f>AQ58</f>
        <v>4</v>
      </c>
      <c r="CH14" s="116">
        <f>AQ80</f>
        <v>0</v>
      </c>
      <c r="CI14" s="116">
        <f>AQ91</f>
        <v>0</v>
      </c>
      <c r="CJ14" s="116">
        <f>AQ5*3500</f>
        <v>9625</v>
      </c>
      <c r="CK14" s="216">
        <v>500</v>
      </c>
      <c r="CL14" s="116">
        <f t="shared" si="0"/>
        <v>86625</v>
      </c>
      <c r="CM14" s="117" t="s">
        <v>186</v>
      </c>
      <c r="CN14" s="62" t="s">
        <v>314</v>
      </c>
      <c r="CO14" s="116">
        <f>BH36</f>
        <v>1</v>
      </c>
      <c r="CP14" s="116">
        <f>BH58</f>
        <v>1</v>
      </c>
      <c r="CQ14" s="116">
        <f>BH80</f>
        <v>1</v>
      </c>
      <c r="CR14" s="116">
        <f>BH5*8000</f>
        <v>10600</v>
      </c>
      <c r="CS14" s="116">
        <f t="shared" si="1"/>
        <v>31800</v>
      </c>
    </row>
    <row r="15" spans="1:128">
      <c r="A15" s="101">
        <v>4</v>
      </c>
      <c r="B15" s="118" t="s">
        <v>253</v>
      </c>
      <c r="C15" s="119">
        <v>224</v>
      </c>
      <c r="D15" s="119"/>
      <c r="E15" s="120"/>
      <c r="F15" s="120"/>
      <c r="G15" s="120"/>
      <c r="H15" s="120"/>
      <c r="I15" s="121"/>
      <c r="J15" s="121"/>
      <c r="K15" s="121"/>
      <c r="L15" s="121"/>
      <c r="M15" s="125">
        <f t="shared" si="2"/>
        <v>0</v>
      </c>
      <c r="N15" s="130"/>
      <c r="O15" s="124"/>
      <c r="P15" s="124"/>
      <c r="Q15" s="124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25"/>
      <c r="AE15" s="126">
        <f>C15</f>
        <v>224</v>
      </c>
      <c r="AF15" s="126"/>
      <c r="AG15" s="126"/>
      <c r="AH15" s="126"/>
      <c r="AI15" s="126"/>
      <c r="AJ15" s="126"/>
      <c r="AK15" s="127"/>
      <c r="AL15" s="128">
        <f t="shared" si="3"/>
        <v>224</v>
      </c>
      <c r="AM15" s="118"/>
      <c r="AN15" s="120"/>
      <c r="AO15" s="120"/>
      <c r="AP15" s="119"/>
      <c r="AQ15" s="119">
        <v>4</v>
      </c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>
        <v>4</v>
      </c>
      <c r="BG15" s="119"/>
      <c r="BH15" s="120"/>
      <c r="BI15" s="120"/>
      <c r="BJ15" s="120"/>
      <c r="BK15" s="121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9"/>
      <c r="BX15" s="129"/>
      <c r="BY15" s="129"/>
      <c r="BZ15" s="129"/>
      <c r="CA15" s="129"/>
      <c r="CB15" s="129"/>
      <c r="CD15" s="115" t="s">
        <v>170</v>
      </c>
      <c r="CE15" s="62" t="s">
        <v>308</v>
      </c>
      <c r="CF15" s="116">
        <f>AR36</f>
        <v>2</v>
      </c>
      <c r="CG15" s="116">
        <f>AR58</f>
        <v>2</v>
      </c>
      <c r="CH15" s="116">
        <f>AR80</f>
        <v>4</v>
      </c>
      <c r="CI15" s="116">
        <f>AR91</f>
        <v>0</v>
      </c>
      <c r="CJ15" s="116">
        <f>ROUNDUP(AR5*3500,0)</f>
        <v>6458</v>
      </c>
      <c r="CK15" s="216">
        <v>500</v>
      </c>
      <c r="CL15" s="116">
        <f t="shared" si="0"/>
        <v>51664</v>
      </c>
      <c r="CM15" s="117" t="s">
        <v>187</v>
      </c>
      <c r="CN15" s="62" t="s">
        <v>315</v>
      </c>
      <c r="CO15" s="116">
        <f>BI36</f>
        <v>1</v>
      </c>
      <c r="CP15" s="116">
        <f>BI58</f>
        <v>1</v>
      </c>
      <c r="CQ15" s="116">
        <f>BI80</f>
        <v>1</v>
      </c>
      <c r="CR15" s="116">
        <f>BI5*10000</f>
        <v>6750</v>
      </c>
      <c r="CS15" s="116">
        <f t="shared" si="1"/>
        <v>20250</v>
      </c>
    </row>
    <row r="16" spans="1:128">
      <c r="A16" s="101">
        <v>5</v>
      </c>
      <c r="B16" s="118" t="s">
        <v>254</v>
      </c>
      <c r="C16" s="119">
        <v>32</v>
      </c>
      <c r="D16" s="119"/>
      <c r="E16" s="120"/>
      <c r="F16" s="120"/>
      <c r="G16" s="119"/>
      <c r="H16" s="119"/>
      <c r="I16" s="132"/>
      <c r="J16" s="132"/>
      <c r="K16" s="132"/>
      <c r="L16" s="132"/>
      <c r="M16" s="125">
        <f t="shared" si="2"/>
        <v>0</v>
      </c>
      <c r="N16" s="130"/>
      <c r="O16" s="124"/>
      <c r="P16" s="124"/>
      <c r="Q16" s="124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25"/>
      <c r="AE16" s="126">
        <f>C16</f>
        <v>32</v>
      </c>
      <c r="AF16" s="124"/>
      <c r="AG16" s="124"/>
      <c r="AH16" s="124"/>
      <c r="AI16" s="124"/>
      <c r="AJ16" s="126"/>
      <c r="AK16" s="127"/>
      <c r="AL16" s="128">
        <f t="shared" si="3"/>
        <v>32</v>
      </c>
      <c r="AM16" s="124"/>
      <c r="AN16" s="119"/>
      <c r="AO16" s="119"/>
      <c r="AP16" s="119"/>
      <c r="AQ16" s="119"/>
      <c r="AR16" s="119"/>
      <c r="AS16" s="119"/>
      <c r="AT16" s="119">
        <v>3</v>
      </c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32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1"/>
      <c r="BX16" s="131"/>
      <c r="BY16" s="131"/>
      <c r="BZ16" s="131"/>
      <c r="CA16" s="131"/>
      <c r="CB16" s="131"/>
      <c r="CC16" s="116"/>
      <c r="CD16" s="115" t="s">
        <v>171</v>
      </c>
      <c r="CE16" s="62" t="s">
        <v>309</v>
      </c>
      <c r="CF16" s="116">
        <f>AS36</f>
        <v>2</v>
      </c>
      <c r="CG16" s="116">
        <f>AS58</f>
        <v>0</v>
      </c>
      <c r="CH16" s="116">
        <f>AS80</f>
        <v>0</v>
      </c>
      <c r="CI16" s="116">
        <f>AS91</f>
        <v>0</v>
      </c>
      <c r="CJ16" s="116">
        <f>ROUNDUP(AS5*6500,0)</f>
        <v>19500</v>
      </c>
      <c r="CK16" s="116">
        <v>1500</v>
      </c>
      <c r="CL16" s="116">
        <f t="shared" si="0"/>
        <v>39000</v>
      </c>
      <c r="CM16" s="117" t="s">
        <v>188</v>
      </c>
      <c r="CN16" s="62" t="s">
        <v>316</v>
      </c>
      <c r="CO16" s="116">
        <f>BJ36</f>
        <v>1</v>
      </c>
      <c r="CP16" s="116">
        <f>BJ58</f>
        <v>0</v>
      </c>
      <c r="CQ16" s="116">
        <f>BJ80</f>
        <v>0</v>
      </c>
      <c r="CR16" s="116">
        <f>ROUNDUP(BJ5*4500,0)</f>
        <v>22500</v>
      </c>
      <c r="CS16" s="116">
        <f t="shared" si="1"/>
        <v>22500</v>
      </c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33"/>
      <c r="DU16" s="133"/>
      <c r="DV16" s="133"/>
      <c r="DW16" s="133"/>
      <c r="DX16" s="133"/>
    </row>
    <row r="17" spans="1:128">
      <c r="A17" s="101">
        <v>6</v>
      </c>
      <c r="B17" s="118" t="s">
        <v>255</v>
      </c>
      <c r="C17" s="119">
        <v>24</v>
      </c>
      <c r="D17" s="119"/>
      <c r="E17" s="120"/>
      <c r="F17" s="120"/>
      <c r="G17" s="119"/>
      <c r="H17" s="119"/>
      <c r="I17" s="132"/>
      <c r="J17" s="132"/>
      <c r="K17" s="132"/>
      <c r="L17" s="132"/>
      <c r="M17" s="125">
        <f t="shared" si="2"/>
        <v>0</v>
      </c>
      <c r="N17" s="130"/>
      <c r="O17" s="124"/>
      <c r="P17" s="124"/>
      <c r="Q17" s="124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25"/>
      <c r="AE17" s="126">
        <f>C17</f>
        <v>24</v>
      </c>
      <c r="AF17" s="124"/>
      <c r="AG17" s="124"/>
      <c r="AH17" s="124"/>
      <c r="AI17" s="124"/>
      <c r="AJ17" s="126"/>
      <c r="AK17" s="127"/>
      <c r="AL17" s="128">
        <f t="shared" si="3"/>
        <v>24</v>
      </c>
      <c r="AM17" s="124"/>
      <c r="AN17" s="119"/>
      <c r="AO17" s="119"/>
      <c r="AP17" s="119"/>
      <c r="AQ17" s="119">
        <v>1</v>
      </c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>
        <v>1</v>
      </c>
      <c r="BG17" s="119">
        <v>1</v>
      </c>
      <c r="BH17" s="119"/>
      <c r="BI17" s="119"/>
      <c r="BJ17" s="119"/>
      <c r="BK17" s="132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1"/>
      <c r="BX17" s="131"/>
      <c r="BY17" s="131"/>
      <c r="BZ17" s="131"/>
      <c r="CA17" s="131"/>
      <c r="CB17" s="131"/>
      <c r="CC17" s="116"/>
      <c r="CD17" s="115" t="s">
        <v>172</v>
      </c>
      <c r="CE17" s="62" t="s">
        <v>307</v>
      </c>
      <c r="CF17" s="116">
        <f>AT36</f>
        <v>3</v>
      </c>
      <c r="CG17" s="116">
        <f>AT58</f>
        <v>0</v>
      </c>
      <c r="CH17" s="116">
        <f>AT80</f>
        <v>0</v>
      </c>
      <c r="CI17" s="116">
        <f>AT91</f>
        <v>0</v>
      </c>
      <c r="CJ17" s="116">
        <f>ROUNDUP(AT5*2500,0)</f>
        <v>24938</v>
      </c>
      <c r="CK17" s="116"/>
      <c r="CL17" s="116">
        <f t="shared" si="0"/>
        <v>74814</v>
      </c>
      <c r="CM17" s="117" t="s">
        <v>189</v>
      </c>
      <c r="CN17" s="62" t="s">
        <v>317</v>
      </c>
      <c r="CO17" s="116">
        <f>BK36</f>
        <v>1</v>
      </c>
      <c r="CP17" s="116">
        <f>BK58</f>
        <v>0</v>
      </c>
      <c r="CQ17" s="116">
        <f>BK80</f>
        <v>0</v>
      </c>
      <c r="CR17" s="116">
        <f>BK5*3500</f>
        <v>56700.000000000007</v>
      </c>
      <c r="CS17" s="116">
        <f t="shared" si="1"/>
        <v>56700.000000000007</v>
      </c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33"/>
      <c r="DU17" s="133"/>
      <c r="DV17" s="133"/>
      <c r="DW17" s="133"/>
      <c r="DX17" s="133"/>
    </row>
    <row r="18" spans="1:128">
      <c r="A18" s="101">
        <v>7</v>
      </c>
      <c r="B18" s="124" t="s">
        <v>256</v>
      </c>
      <c r="C18" s="119">
        <v>228</v>
      </c>
      <c r="D18" s="119"/>
      <c r="E18" s="119"/>
      <c r="F18" s="119"/>
      <c r="G18" s="119"/>
      <c r="H18" s="119"/>
      <c r="I18" s="132"/>
      <c r="J18" s="132"/>
      <c r="K18" s="132"/>
      <c r="L18" s="132"/>
      <c r="M18" s="125">
        <f t="shared" si="2"/>
        <v>0</v>
      </c>
      <c r="N18" s="130"/>
      <c r="O18" s="124"/>
      <c r="P18" s="124"/>
      <c r="Q18" s="124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25"/>
      <c r="AE18" s="124"/>
      <c r="AF18" s="124"/>
      <c r="AG18" s="124"/>
      <c r="AH18" s="124">
        <f>C18</f>
        <v>228</v>
      </c>
      <c r="AI18" s="124"/>
      <c r="AJ18" s="126"/>
      <c r="AK18" s="127"/>
      <c r="AL18" s="128">
        <f t="shared" si="3"/>
        <v>228</v>
      </c>
      <c r="AM18" s="124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32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1"/>
      <c r="BX18" s="131"/>
      <c r="BY18" s="131"/>
      <c r="BZ18" s="131"/>
      <c r="CA18" s="131"/>
      <c r="CB18" s="131"/>
      <c r="CC18" s="116"/>
      <c r="CD18" s="115" t="s">
        <v>173</v>
      </c>
      <c r="CE18" s="62" t="s">
        <v>310</v>
      </c>
      <c r="CF18" s="116">
        <f>AU36</f>
        <v>1</v>
      </c>
      <c r="CG18" s="116">
        <f>AU58</f>
        <v>0</v>
      </c>
      <c r="CH18" s="116">
        <f>AU80</f>
        <v>0</v>
      </c>
      <c r="CI18" s="116">
        <f>AU91</f>
        <v>0</v>
      </c>
      <c r="CJ18" s="116">
        <f>AU5*2500</f>
        <v>23625.000000000004</v>
      </c>
      <c r="CK18" s="116"/>
      <c r="CL18" s="116">
        <f t="shared" si="0"/>
        <v>23625.000000000004</v>
      </c>
      <c r="CM18" s="117" t="s">
        <v>190</v>
      </c>
      <c r="CN18" s="62" t="s">
        <v>324</v>
      </c>
      <c r="CO18" s="116">
        <f>BL36</f>
        <v>0</v>
      </c>
      <c r="CP18" s="116">
        <f>BL58</f>
        <v>2</v>
      </c>
      <c r="CQ18" s="116">
        <f>BL80</f>
        <v>0</v>
      </c>
      <c r="CR18" s="116">
        <f>ROUNDUP(BL5*2500,0)</f>
        <v>32375</v>
      </c>
      <c r="CS18" s="116">
        <f t="shared" si="1"/>
        <v>64750</v>
      </c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33"/>
      <c r="DU18" s="133"/>
      <c r="DV18" s="133"/>
      <c r="DW18" s="133"/>
      <c r="DX18" s="133"/>
    </row>
    <row r="19" spans="1:128">
      <c r="A19" s="101">
        <v>8</v>
      </c>
      <c r="B19" s="124" t="s">
        <v>257</v>
      </c>
      <c r="C19" s="119"/>
      <c r="D19" s="119"/>
      <c r="E19" s="119"/>
      <c r="F19" s="119">
        <f>ROUNDUP(31.15*1.2,0)</f>
        <v>38</v>
      </c>
      <c r="G19" s="119"/>
      <c r="H19" s="119"/>
      <c r="I19" s="132"/>
      <c r="J19" s="132"/>
      <c r="K19" s="132"/>
      <c r="L19" s="132"/>
      <c r="M19" s="125">
        <f t="shared" si="2"/>
        <v>38</v>
      </c>
      <c r="N19" s="130"/>
      <c r="O19" s="124"/>
      <c r="P19" s="124"/>
      <c r="Q19" s="124"/>
      <c r="R19" s="119"/>
      <c r="S19" s="119"/>
      <c r="T19" s="119"/>
      <c r="U19" s="119"/>
      <c r="V19" s="119"/>
      <c r="W19" s="119">
        <f>ROUNDUP((18*3.5)*1.2,0)</f>
        <v>76</v>
      </c>
      <c r="X19" s="119"/>
      <c r="Y19" s="119"/>
      <c r="Z19" s="119"/>
      <c r="AA19" s="119"/>
      <c r="AB19" s="119"/>
      <c r="AC19" s="119"/>
      <c r="AD19" s="125"/>
      <c r="AE19" s="124"/>
      <c r="AF19" s="124">
        <f>F19</f>
        <v>38</v>
      </c>
      <c r="AG19" s="124"/>
      <c r="AH19" s="124"/>
      <c r="AI19" s="124"/>
      <c r="AJ19" s="126"/>
      <c r="AK19" s="127"/>
      <c r="AL19" s="128">
        <f t="shared" si="3"/>
        <v>38</v>
      </c>
      <c r="AM19" s="124"/>
      <c r="AN19" s="119"/>
      <c r="AO19" s="119"/>
      <c r="AP19" s="119"/>
      <c r="AQ19" s="119"/>
      <c r="AR19" s="119">
        <v>1</v>
      </c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32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1"/>
      <c r="BX19" s="131"/>
      <c r="BY19" s="131"/>
      <c r="BZ19" s="131"/>
      <c r="CA19" s="131"/>
      <c r="CB19" s="131"/>
      <c r="CC19" s="116"/>
      <c r="CD19" s="62" t="s">
        <v>226</v>
      </c>
      <c r="CE19" s="62" t="s">
        <v>326</v>
      </c>
      <c r="CF19" s="116">
        <f>AV36</f>
        <v>0</v>
      </c>
      <c r="CG19" s="116">
        <f>AV58</f>
        <v>6</v>
      </c>
      <c r="CH19" s="116">
        <f>AV80</f>
        <v>7</v>
      </c>
      <c r="CI19" s="116">
        <f>AV91</f>
        <v>0</v>
      </c>
      <c r="CJ19" s="116">
        <f>AV5*3500</f>
        <v>13125</v>
      </c>
      <c r="CK19" s="116">
        <v>1000</v>
      </c>
      <c r="CL19" s="116">
        <f t="shared" si="0"/>
        <v>170625</v>
      </c>
      <c r="CM19" s="117" t="s">
        <v>191</v>
      </c>
      <c r="CN19" s="62" t="s">
        <v>320</v>
      </c>
      <c r="CO19" s="116">
        <f>BM36</f>
        <v>0</v>
      </c>
      <c r="CP19" s="116">
        <f>BM58</f>
        <v>2</v>
      </c>
      <c r="CQ19" s="116">
        <f>BM80</f>
        <v>2</v>
      </c>
      <c r="CR19" s="116">
        <f>BM5*3000</f>
        <v>7200.0000000000009</v>
      </c>
      <c r="CS19" s="116">
        <f t="shared" si="1"/>
        <v>28800.000000000004</v>
      </c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33"/>
      <c r="DU19" s="133"/>
      <c r="DV19" s="133"/>
      <c r="DW19" s="133"/>
      <c r="DX19" s="133"/>
    </row>
    <row r="20" spans="1:128">
      <c r="A20" s="101">
        <v>9</v>
      </c>
      <c r="B20" s="124" t="s">
        <v>258</v>
      </c>
      <c r="C20" s="119"/>
      <c r="D20" s="119"/>
      <c r="E20" s="119"/>
      <c r="F20" s="119">
        <f>ROUNDUP(21.35*1.2,0)</f>
        <v>26</v>
      </c>
      <c r="G20" s="119"/>
      <c r="H20" s="119"/>
      <c r="I20" s="132"/>
      <c r="J20" s="132"/>
      <c r="K20" s="132"/>
      <c r="L20" s="132"/>
      <c r="M20" s="125">
        <f t="shared" si="2"/>
        <v>26</v>
      </c>
      <c r="N20" s="130"/>
      <c r="O20" s="130"/>
      <c r="P20" s="124"/>
      <c r="Q20" s="124"/>
      <c r="R20" s="119"/>
      <c r="S20" s="119"/>
      <c r="T20" s="119"/>
      <c r="U20" s="119"/>
      <c r="V20" s="119"/>
      <c r="W20" s="119">
        <f>ROUNDUP((24*3.5)*1.2,0)</f>
        <v>101</v>
      </c>
      <c r="X20" s="119"/>
      <c r="Y20" s="119"/>
      <c r="Z20" s="119"/>
      <c r="AA20" s="119"/>
      <c r="AB20" s="119"/>
      <c r="AC20" s="119"/>
      <c r="AD20" s="125"/>
      <c r="AE20" s="124"/>
      <c r="AF20" s="124">
        <f>F20</f>
        <v>26</v>
      </c>
      <c r="AG20" s="124"/>
      <c r="AH20" s="124"/>
      <c r="AI20" s="124"/>
      <c r="AJ20" s="126"/>
      <c r="AK20" s="127"/>
      <c r="AL20" s="128">
        <f t="shared" si="3"/>
        <v>26</v>
      </c>
      <c r="AM20" s="124"/>
      <c r="AN20" s="119"/>
      <c r="AO20" s="119"/>
      <c r="AP20" s="119"/>
      <c r="AQ20" s="119"/>
      <c r="AR20" s="119">
        <v>1</v>
      </c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>
        <v>1</v>
      </c>
      <c r="BI20" s="119">
        <v>1</v>
      </c>
      <c r="BJ20" s="119"/>
      <c r="BK20" s="132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1"/>
      <c r="BX20" s="131"/>
      <c r="BY20" s="131"/>
      <c r="BZ20" s="131"/>
      <c r="CA20" s="131"/>
      <c r="CB20" s="131"/>
      <c r="CC20" s="116"/>
      <c r="CD20" s="62" t="s">
        <v>228</v>
      </c>
      <c r="CE20" s="62" t="s">
        <v>311</v>
      </c>
      <c r="CF20" s="116">
        <f>AW36</f>
        <v>0</v>
      </c>
      <c r="CG20" s="116">
        <f>AW58</f>
        <v>2</v>
      </c>
      <c r="CH20" s="116">
        <f>AW80</f>
        <v>2</v>
      </c>
      <c r="CI20" s="116">
        <f>AW91</f>
        <v>0</v>
      </c>
      <c r="CJ20" s="116">
        <f>AW5*3500</f>
        <v>9625</v>
      </c>
      <c r="CK20" s="116">
        <v>500</v>
      </c>
      <c r="CL20" s="116">
        <f t="shared" si="0"/>
        <v>38500</v>
      </c>
      <c r="CM20" s="117" t="s">
        <v>192</v>
      </c>
      <c r="CO20" s="116">
        <f>BN36</f>
        <v>0</v>
      </c>
      <c r="CP20" s="116">
        <f>BN58</f>
        <v>0</v>
      </c>
      <c r="CQ20" s="116"/>
      <c r="CR20" s="116">
        <f>ROUNDUP(BN5*8000,0)</f>
        <v>0</v>
      </c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33"/>
      <c r="DU20" s="133"/>
      <c r="DV20" s="133"/>
      <c r="DW20" s="133"/>
      <c r="DX20" s="133"/>
    </row>
    <row r="21" spans="1:128">
      <c r="A21" s="101">
        <v>10</v>
      </c>
      <c r="B21" s="124" t="s">
        <v>259</v>
      </c>
      <c r="C21" s="119">
        <v>47</v>
      </c>
      <c r="D21" s="119"/>
      <c r="E21" s="119"/>
      <c r="F21" s="119"/>
      <c r="G21" s="119"/>
      <c r="H21" s="119"/>
      <c r="I21" s="132"/>
      <c r="J21" s="132"/>
      <c r="K21" s="132"/>
      <c r="L21" s="132"/>
      <c r="M21" s="125">
        <f t="shared" si="2"/>
        <v>0</v>
      </c>
      <c r="N21" s="130"/>
      <c r="O21" s="124"/>
      <c r="P21" s="124"/>
      <c r="Q21" s="124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25"/>
      <c r="AE21" s="124"/>
      <c r="AF21" s="124"/>
      <c r="AG21" s="124"/>
      <c r="AH21" s="124">
        <f>C21</f>
        <v>47</v>
      </c>
      <c r="AI21" s="124"/>
      <c r="AJ21" s="126"/>
      <c r="AK21" s="127"/>
      <c r="AL21" s="128">
        <f t="shared" si="3"/>
        <v>47</v>
      </c>
      <c r="AM21" s="124"/>
      <c r="AN21" s="119">
        <v>1</v>
      </c>
      <c r="AO21" s="119"/>
      <c r="AP21" s="119"/>
      <c r="AQ21" s="119"/>
      <c r="AR21" s="119"/>
      <c r="AS21" s="119"/>
      <c r="AT21" s="119"/>
      <c r="AU21" s="119">
        <v>1</v>
      </c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>
        <v>1</v>
      </c>
      <c r="BK21" s="132">
        <v>1</v>
      </c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1"/>
      <c r="BX21" s="131"/>
      <c r="BY21" s="131"/>
      <c r="BZ21" s="131"/>
      <c r="CA21" s="131"/>
      <c r="CB21" s="131"/>
      <c r="CC21" s="116"/>
      <c r="CD21" s="62" t="s">
        <v>229</v>
      </c>
      <c r="CE21" s="62" t="s">
        <v>322</v>
      </c>
      <c r="CF21" s="116">
        <f>AX36</f>
        <v>0</v>
      </c>
      <c r="CG21" s="116">
        <f>AX58</f>
        <v>0</v>
      </c>
      <c r="CH21" s="116">
        <f>AX80</f>
        <v>1</v>
      </c>
      <c r="CI21" s="116">
        <f>AX91</f>
        <v>0</v>
      </c>
      <c r="CJ21" s="116">
        <f>AX5*3500</f>
        <v>131074.99999999997</v>
      </c>
      <c r="CK21" s="116"/>
      <c r="CL21" s="116">
        <f t="shared" si="0"/>
        <v>131074.99999999997</v>
      </c>
      <c r="CM21" s="117" t="s">
        <v>193</v>
      </c>
      <c r="CO21" s="116">
        <f>BO36</f>
        <v>0</v>
      </c>
      <c r="CP21" s="116">
        <f>BO58</f>
        <v>0</v>
      </c>
      <c r="CQ21" s="116"/>
      <c r="CR21" s="116">
        <f>BO5*8000</f>
        <v>0</v>
      </c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33"/>
      <c r="DU21" s="133"/>
      <c r="DV21" s="133"/>
      <c r="DW21" s="133"/>
      <c r="DX21" s="133"/>
    </row>
    <row r="22" spans="1:128">
      <c r="A22" s="101">
        <v>11</v>
      </c>
      <c r="B22" s="124" t="s">
        <v>260</v>
      </c>
      <c r="C22" s="119"/>
      <c r="D22" s="119"/>
      <c r="E22" s="119"/>
      <c r="F22" s="119"/>
      <c r="G22" s="119">
        <v>26</v>
      </c>
      <c r="H22" s="119"/>
      <c r="I22" s="132"/>
      <c r="J22" s="132"/>
      <c r="K22" s="132"/>
      <c r="L22" s="132"/>
      <c r="M22" s="125">
        <f t="shared" si="2"/>
        <v>0</v>
      </c>
      <c r="N22" s="130"/>
      <c r="O22" s="130"/>
      <c r="P22" s="124"/>
      <c r="Q22" s="124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25"/>
      <c r="AE22" s="124"/>
      <c r="AF22" s="124"/>
      <c r="AG22" s="124"/>
      <c r="AH22" s="124">
        <f>G22</f>
        <v>26</v>
      </c>
      <c r="AI22" s="124"/>
      <c r="AJ22" s="126"/>
      <c r="AK22" s="127"/>
      <c r="AL22" s="128">
        <f t="shared" si="3"/>
        <v>26</v>
      </c>
      <c r="AM22" s="124"/>
      <c r="AN22" s="119"/>
      <c r="AO22" s="119"/>
      <c r="AP22" s="119"/>
      <c r="AQ22" s="119"/>
      <c r="AR22" s="119"/>
      <c r="AS22" s="119">
        <v>1</v>
      </c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32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1"/>
      <c r="BX22" s="131"/>
      <c r="BY22" s="131"/>
      <c r="BZ22" s="131"/>
      <c r="CA22" s="131"/>
      <c r="CB22" s="131"/>
      <c r="CC22" s="116"/>
      <c r="CD22" s="62" t="s">
        <v>230</v>
      </c>
      <c r="CE22" s="62" t="s">
        <v>312</v>
      </c>
      <c r="CF22" s="116">
        <f>AY36</f>
        <v>0</v>
      </c>
      <c r="CG22" s="116">
        <f>AY58</f>
        <v>0</v>
      </c>
      <c r="CH22" s="116">
        <f>AY80</f>
        <v>0</v>
      </c>
      <c r="CI22" s="116">
        <f>AY91</f>
        <v>1</v>
      </c>
      <c r="CJ22" s="116">
        <f>AY5*6500</f>
        <v>14300.000000000002</v>
      </c>
      <c r="CK22" s="116">
        <v>1500</v>
      </c>
      <c r="CL22" s="116">
        <f t="shared" si="0"/>
        <v>14300.000000000002</v>
      </c>
      <c r="CM22" s="117" t="s">
        <v>194</v>
      </c>
      <c r="CO22" s="116">
        <f>BP36</f>
        <v>0</v>
      </c>
      <c r="CP22" s="116">
        <f>BP58</f>
        <v>0</v>
      </c>
      <c r="CQ22" s="116"/>
      <c r="CR22" s="116">
        <f>ROUNDUP(BP5*2500,0)</f>
        <v>0</v>
      </c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33"/>
      <c r="DU22" s="133"/>
      <c r="DV22" s="133"/>
      <c r="DW22" s="133"/>
      <c r="DX22" s="133"/>
    </row>
    <row r="23" spans="1:128">
      <c r="A23" s="101">
        <v>12</v>
      </c>
      <c r="B23" s="124" t="s">
        <v>261</v>
      </c>
      <c r="C23" s="119"/>
      <c r="D23" s="119"/>
      <c r="E23" s="119"/>
      <c r="F23" s="119"/>
      <c r="G23" s="119">
        <v>13</v>
      </c>
      <c r="H23" s="119"/>
      <c r="I23" s="132"/>
      <c r="J23" s="132"/>
      <c r="K23" s="132"/>
      <c r="L23" s="119"/>
      <c r="M23" s="125">
        <f t="shared" si="2"/>
        <v>0</v>
      </c>
      <c r="N23" s="130"/>
      <c r="O23" s="130"/>
      <c r="P23" s="124"/>
      <c r="Q23" s="124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25"/>
      <c r="AE23" s="124"/>
      <c r="AF23" s="124"/>
      <c r="AG23" s="124"/>
      <c r="AH23" s="124">
        <f>G23</f>
        <v>13</v>
      </c>
      <c r="AI23" s="124"/>
      <c r="AJ23" s="126"/>
      <c r="AK23" s="127"/>
      <c r="AL23" s="128">
        <f t="shared" si="3"/>
        <v>13</v>
      </c>
      <c r="AM23" s="134"/>
      <c r="AN23" s="135"/>
      <c r="AO23" s="135"/>
      <c r="AP23" s="119"/>
      <c r="AQ23" s="119"/>
      <c r="AR23" s="119"/>
      <c r="AS23" s="119">
        <v>1</v>
      </c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32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1"/>
      <c r="BX23" s="131"/>
      <c r="BY23" s="131"/>
      <c r="BZ23" s="131"/>
      <c r="CA23" s="131"/>
      <c r="CB23" s="131"/>
      <c r="CC23" s="116"/>
      <c r="CD23" s="62" t="s">
        <v>232</v>
      </c>
      <c r="CE23" s="62" t="s">
        <v>325</v>
      </c>
      <c r="CF23" s="116">
        <f>AZ36</f>
        <v>0</v>
      </c>
      <c r="CG23" s="116">
        <f>AZ58</f>
        <v>0</v>
      </c>
      <c r="CH23" s="116">
        <f>AZ80</f>
        <v>2</v>
      </c>
      <c r="CI23" s="116"/>
      <c r="CJ23" s="116">
        <f>AZ5*4500</f>
        <v>19125</v>
      </c>
      <c r="CK23" s="116">
        <v>1000</v>
      </c>
      <c r="CL23" s="116">
        <f t="shared" si="0"/>
        <v>38250</v>
      </c>
      <c r="CM23" s="117" t="s">
        <v>195</v>
      </c>
      <c r="CO23" s="116">
        <f>BQ36</f>
        <v>0</v>
      </c>
      <c r="CP23" s="116">
        <f>BQ58</f>
        <v>0</v>
      </c>
      <c r="CQ23" s="116"/>
      <c r="CR23" s="116">
        <f>BQ5*10000</f>
        <v>0</v>
      </c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33"/>
      <c r="DU23" s="133"/>
      <c r="DV23" s="133"/>
      <c r="DW23" s="133"/>
      <c r="DX23" s="133"/>
    </row>
    <row r="24" spans="1:128">
      <c r="A24" s="101"/>
      <c r="B24" s="124"/>
      <c r="C24" s="119"/>
      <c r="D24" s="119"/>
      <c r="E24" s="119"/>
      <c r="F24" s="119"/>
      <c r="G24" s="119"/>
      <c r="H24" s="119"/>
      <c r="I24" s="132"/>
      <c r="J24" s="132"/>
      <c r="K24" s="132"/>
      <c r="L24" s="132"/>
      <c r="M24" s="125"/>
      <c r="N24" s="130"/>
      <c r="O24" s="130"/>
      <c r="P24" s="124"/>
      <c r="Q24" s="124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25"/>
      <c r="AE24" s="124"/>
      <c r="AF24" s="124"/>
      <c r="AG24" s="124"/>
      <c r="AH24" s="124"/>
      <c r="AI24" s="124"/>
      <c r="AJ24" s="126"/>
      <c r="AK24" s="127"/>
      <c r="AL24" s="128">
        <f t="shared" si="3"/>
        <v>0</v>
      </c>
      <c r="AM24" s="134"/>
      <c r="AN24" s="135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32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1"/>
      <c r="BX24" s="131"/>
      <c r="BY24" s="131"/>
      <c r="BZ24" s="131"/>
      <c r="CA24" s="131"/>
      <c r="CB24" s="131"/>
      <c r="CC24" s="116"/>
      <c r="CD24" s="62" t="s">
        <v>234</v>
      </c>
      <c r="CE24" s="62" t="s">
        <v>234</v>
      </c>
      <c r="CF24" s="116">
        <f>BA36</f>
        <v>0</v>
      </c>
      <c r="CG24" s="116">
        <f>BA58</f>
        <v>0</v>
      </c>
      <c r="CH24" s="116"/>
      <c r="CI24" s="116"/>
      <c r="CJ24" s="116"/>
      <c r="CK24" s="116"/>
      <c r="CL24" s="116"/>
      <c r="CM24" s="117" t="s">
        <v>196</v>
      </c>
      <c r="CO24" s="116">
        <f>BR36</f>
        <v>0</v>
      </c>
      <c r="CP24" s="116">
        <f>BR58</f>
        <v>0</v>
      </c>
      <c r="CQ24" s="116"/>
      <c r="CR24" s="116">
        <f>BR5*10000</f>
        <v>0</v>
      </c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33"/>
      <c r="DU24" s="133"/>
      <c r="DV24" s="133"/>
      <c r="DW24" s="133"/>
      <c r="DX24" s="133"/>
    </row>
    <row r="25" spans="1:128">
      <c r="A25" s="101"/>
      <c r="B25" s="124" t="s">
        <v>282</v>
      </c>
      <c r="C25" s="119"/>
      <c r="D25" s="119"/>
      <c r="E25" s="119"/>
      <c r="F25" s="119"/>
      <c r="G25" s="119"/>
      <c r="H25" s="119"/>
      <c r="I25" s="132"/>
      <c r="J25" s="132"/>
      <c r="K25" s="132"/>
      <c r="L25" s="132"/>
      <c r="M25" s="125"/>
      <c r="N25" s="130"/>
      <c r="O25" s="130"/>
      <c r="P25" s="124"/>
      <c r="Q25" s="124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25"/>
      <c r="AE25" s="124"/>
      <c r="AF25" s="124"/>
      <c r="AG25" s="124"/>
      <c r="AH25" s="124"/>
      <c r="AI25" s="124"/>
      <c r="AJ25" s="126"/>
      <c r="AK25" s="127"/>
      <c r="AL25" s="128">
        <f t="shared" si="3"/>
        <v>0</v>
      </c>
      <c r="AM25" s="134"/>
      <c r="AN25" s="135"/>
      <c r="AO25" s="135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32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1"/>
      <c r="BX25" s="131"/>
      <c r="BY25" s="131"/>
      <c r="BZ25" s="131"/>
      <c r="CA25" s="131"/>
      <c r="CB25" s="131"/>
      <c r="CC25" s="116"/>
      <c r="CD25" s="62" t="s">
        <v>235</v>
      </c>
      <c r="CE25" s="62" t="s">
        <v>235</v>
      </c>
      <c r="CF25" s="116">
        <f>BB36</f>
        <v>0</v>
      </c>
      <c r="CG25" s="116">
        <f>BB58</f>
        <v>0</v>
      </c>
      <c r="CH25" s="116"/>
      <c r="CI25" s="116"/>
      <c r="CJ25" s="116"/>
      <c r="CK25" s="116"/>
      <c r="CL25" s="116"/>
      <c r="CM25" s="117" t="s">
        <v>197</v>
      </c>
      <c r="CO25" s="116">
        <f>BS36</f>
        <v>0</v>
      </c>
      <c r="CP25" s="116">
        <f>BS58</f>
        <v>0</v>
      </c>
      <c r="CQ25" s="116"/>
      <c r="CR25" s="116">
        <f>BS5*2500</f>
        <v>0</v>
      </c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33"/>
      <c r="DU25" s="133"/>
      <c r="DV25" s="133"/>
      <c r="DW25" s="133"/>
      <c r="DX25" s="133"/>
    </row>
    <row r="26" spans="1:128">
      <c r="A26" s="101"/>
      <c r="B26" s="124" t="s">
        <v>283</v>
      </c>
      <c r="C26" s="119"/>
      <c r="D26" s="119"/>
      <c r="E26" s="119"/>
      <c r="F26" s="119"/>
      <c r="G26" s="119"/>
      <c r="H26" s="119"/>
      <c r="I26" s="132"/>
      <c r="J26" s="132"/>
      <c r="K26" s="132"/>
      <c r="L26" s="132"/>
      <c r="M26" s="125"/>
      <c r="N26" s="130"/>
      <c r="O26" s="130"/>
      <c r="P26" s="124"/>
      <c r="Q26" s="124"/>
      <c r="R26" s="119"/>
      <c r="S26" s="119"/>
      <c r="T26" s="119"/>
      <c r="U26" s="124"/>
      <c r="V26" s="119"/>
      <c r="W26" s="119"/>
      <c r="X26" s="119"/>
      <c r="Y26" s="119"/>
      <c r="Z26" s="119"/>
      <c r="AA26" s="119"/>
      <c r="AB26" s="119"/>
      <c r="AC26" s="119"/>
      <c r="AD26" s="125"/>
      <c r="AE26" s="124"/>
      <c r="AF26" s="124"/>
      <c r="AG26" s="124"/>
      <c r="AH26" s="124"/>
      <c r="AI26" s="124"/>
      <c r="AJ26" s="126"/>
      <c r="AK26" s="127"/>
      <c r="AL26" s="128">
        <f t="shared" si="3"/>
        <v>0</v>
      </c>
      <c r="AM26" s="134"/>
      <c r="AN26" s="135"/>
      <c r="AO26" s="135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32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1"/>
      <c r="BX26" s="131"/>
      <c r="BY26" s="131"/>
      <c r="BZ26" s="131"/>
      <c r="CA26" s="131"/>
      <c r="CB26" s="131"/>
      <c r="CC26" s="116"/>
      <c r="CD26" s="62" t="s">
        <v>236</v>
      </c>
      <c r="CE26" s="62" t="s">
        <v>236</v>
      </c>
      <c r="CF26" s="116">
        <f>BC36</f>
        <v>0</v>
      </c>
      <c r="CG26" s="116">
        <f>BC58</f>
        <v>0</v>
      </c>
      <c r="CH26" s="116"/>
      <c r="CI26" s="116"/>
      <c r="CJ26" s="116"/>
      <c r="CK26" s="116"/>
      <c r="CL26" s="116"/>
      <c r="CM26" s="117" t="s">
        <v>198</v>
      </c>
      <c r="CO26" s="116">
        <f>BT36</f>
        <v>0</v>
      </c>
      <c r="CP26" s="116">
        <f>BT58</f>
        <v>0</v>
      </c>
      <c r="CQ26" s="116"/>
      <c r="CR26" s="116">
        <f>BT5*2500</f>
        <v>0</v>
      </c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33"/>
      <c r="DU26" s="133"/>
      <c r="DV26" s="133"/>
      <c r="DW26" s="133"/>
      <c r="DX26" s="133"/>
    </row>
    <row r="27" spans="1:128">
      <c r="A27" s="101"/>
      <c r="B27" s="124" t="s">
        <v>284</v>
      </c>
      <c r="C27" s="119"/>
      <c r="D27" s="119"/>
      <c r="E27" s="119"/>
      <c r="F27" s="119"/>
      <c r="G27" s="119"/>
      <c r="H27" s="119"/>
      <c r="I27" s="132"/>
      <c r="J27" s="132"/>
      <c r="K27" s="132"/>
      <c r="L27" s="132"/>
      <c r="M27" s="125"/>
      <c r="N27" s="130"/>
      <c r="O27" s="130"/>
      <c r="P27" s="124"/>
      <c r="Q27" s="124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25"/>
      <c r="AE27" s="124"/>
      <c r="AF27" s="124"/>
      <c r="AG27" s="124"/>
      <c r="AH27" s="124"/>
      <c r="AI27" s="124"/>
      <c r="AJ27" s="126"/>
      <c r="AK27" s="127"/>
      <c r="AL27" s="128">
        <f t="shared" si="3"/>
        <v>0</v>
      </c>
      <c r="AM27" s="134"/>
      <c r="AN27" s="135"/>
      <c r="AO27" s="135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32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1"/>
      <c r="BX27" s="131"/>
      <c r="BY27" s="131"/>
      <c r="BZ27" s="131"/>
      <c r="CA27" s="131"/>
      <c r="CB27" s="131"/>
      <c r="CC27" s="116"/>
      <c r="CD27" s="116"/>
      <c r="CF27" s="116"/>
      <c r="CG27" s="116"/>
      <c r="CH27" s="116"/>
      <c r="CI27" s="116"/>
      <c r="CJ27" s="116"/>
      <c r="CK27" s="116"/>
      <c r="CL27" s="116"/>
      <c r="CM27" s="117" t="s">
        <v>199</v>
      </c>
      <c r="CO27" s="116">
        <f>BU36</f>
        <v>0</v>
      </c>
      <c r="CP27" s="116">
        <f>BU58</f>
        <v>0</v>
      </c>
      <c r="CQ27" s="116"/>
      <c r="CR27" s="116">
        <f>BU5*3200</f>
        <v>0</v>
      </c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33"/>
      <c r="DU27" s="133"/>
      <c r="DV27" s="133"/>
      <c r="DW27" s="133"/>
      <c r="DX27" s="133"/>
    </row>
    <row r="28" spans="1:128">
      <c r="A28" s="101"/>
      <c r="B28" s="124" t="s">
        <v>285</v>
      </c>
      <c r="C28" s="119"/>
      <c r="D28" s="119"/>
      <c r="E28" s="119"/>
      <c r="F28" s="119"/>
      <c r="G28" s="119"/>
      <c r="H28" s="132"/>
      <c r="I28" s="136"/>
      <c r="J28" s="130"/>
      <c r="K28" s="130"/>
      <c r="L28" s="130"/>
      <c r="M28" s="125"/>
      <c r="N28" s="130"/>
      <c r="O28" s="130"/>
      <c r="P28" s="124"/>
      <c r="Q28" s="124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25"/>
      <c r="AE28" s="124"/>
      <c r="AF28" s="124"/>
      <c r="AG28" s="124"/>
      <c r="AH28" s="124"/>
      <c r="AI28" s="124"/>
      <c r="AJ28" s="126"/>
      <c r="AK28" s="127"/>
      <c r="AL28" s="128">
        <f t="shared" si="3"/>
        <v>0</v>
      </c>
      <c r="AM28" s="134"/>
      <c r="AN28" s="135"/>
      <c r="AO28" s="135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32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1"/>
      <c r="BX28" s="131"/>
      <c r="BY28" s="131"/>
      <c r="BZ28" s="131"/>
      <c r="CA28" s="131"/>
      <c r="CB28" s="131"/>
      <c r="CC28" s="116"/>
      <c r="CD28" s="116"/>
      <c r="CF28" s="116"/>
      <c r="CG28" s="116"/>
      <c r="CH28" s="116"/>
      <c r="CI28" s="116"/>
      <c r="CJ28" s="116"/>
      <c r="CK28" s="116"/>
      <c r="CL28" s="116"/>
      <c r="CM28" s="117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33"/>
      <c r="DU28" s="133"/>
      <c r="DV28" s="133"/>
      <c r="DW28" s="133"/>
      <c r="DX28" s="133"/>
    </row>
    <row r="29" spans="1:128">
      <c r="A29" s="129"/>
      <c r="B29" s="124" t="s">
        <v>286</v>
      </c>
      <c r="C29" s="119"/>
      <c r="D29" s="119"/>
      <c r="E29" s="119"/>
      <c r="F29" s="119"/>
      <c r="G29" s="119"/>
      <c r="H29" s="119"/>
      <c r="I29" s="132"/>
      <c r="J29" s="132"/>
      <c r="K29" s="132"/>
      <c r="L29" s="132"/>
      <c r="M29" s="125"/>
      <c r="N29" s="130"/>
      <c r="O29" s="130"/>
      <c r="P29" s="124"/>
      <c r="Q29" s="124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25"/>
      <c r="AE29" s="124"/>
      <c r="AF29" s="124"/>
      <c r="AG29" s="124"/>
      <c r="AH29" s="124"/>
      <c r="AI29" s="124"/>
      <c r="AJ29" s="126"/>
      <c r="AK29" s="127"/>
      <c r="AL29" s="128">
        <f t="shared" si="3"/>
        <v>0</v>
      </c>
      <c r="AM29" s="137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9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1"/>
      <c r="BX29" s="141"/>
      <c r="BY29" s="141"/>
      <c r="BZ29" s="141"/>
      <c r="CA29" s="141"/>
      <c r="CB29" s="141"/>
    </row>
    <row r="30" spans="1:128">
      <c r="A30" s="129"/>
      <c r="B30" s="124" t="s">
        <v>287</v>
      </c>
      <c r="C30" s="119"/>
      <c r="D30" s="119"/>
      <c r="E30" s="119"/>
      <c r="F30" s="119"/>
      <c r="G30" s="119"/>
      <c r="H30" s="119"/>
      <c r="I30" s="132"/>
      <c r="J30" s="132"/>
      <c r="K30" s="132"/>
      <c r="L30" s="132"/>
      <c r="M30" s="125"/>
      <c r="N30" s="130"/>
      <c r="O30" s="130"/>
      <c r="P30" s="124"/>
      <c r="Q30" s="124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25"/>
      <c r="AE30" s="124"/>
      <c r="AF30" s="124"/>
      <c r="AG30" s="124"/>
      <c r="AH30" s="124"/>
      <c r="AI30" s="124"/>
      <c r="AJ30" s="126"/>
      <c r="AK30" s="127"/>
      <c r="AL30" s="125"/>
      <c r="AM30" s="137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9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1"/>
      <c r="BX30" s="141"/>
      <c r="BY30" s="141"/>
      <c r="BZ30" s="141"/>
      <c r="CA30" s="141"/>
      <c r="CB30" s="141"/>
      <c r="CF30" s="116">
        <f t="shared" ref="CF30:CL30" si="4">SUM(CF10:CF29)</f>
        <v>19</v>
      </c>
      <c r="CG30" s="116">
        <f t="shared" si="4"/>
        <v>15</v>
      </c>
      <c r="CH30" s="116">
        <f t="shared" si="4"/>
        <v>17</v>
      </c>
      <c r="CI30" s="116">
        <f t="shared" si="4"/>
        <v>1</v>
      </c>
      <c r="CJ30" s="116">
        <f t="shared" si="4"/>
        <v>449834</v>
      </c>
      <c r="CK30" s="116">
        <f t="shared" si="4"/>
        <v>7000</v>
      </c>
      <c r="CL30" s="116">
        <f t="shared" si="4"/>
        <v>1050301</v>
      </c>
      <c r="CO30" s="116">
        <f>SUM(CO10:CO29)</f>
        <v>12</v>
      </c>
      <c r="CP30" s="116">
        <f>SUM(CP10:CP29)</f>
        <v>18</v>
      </c>
      <c r="CQ30" s="116">
        <f>SUM(CQ10:CQ29)</f>
        <v>13</v>
      </c>
      <c r="CR30" s="116">
        <f>SUM(CR10:CR29)</f>
        <v>539813</v>
      </c>
      <c r="CS30" s="116">
        <f>SUM(CS10:CS29)</f>
        <v>1055588</v>
      </c>
      <c r="CT30" s="116">
        <f>SUM(CJ30,CK30,CR30)</f>
        <v>996647</v>
      </c>
    </row>
    <row r="31" spans="1:128">
      <c r="A31" s="129"/>
      <c r="B31" s="124"/>
      <c r="C31" s="119"/>
      <c r="D31" s="119"/>
      <c r="E31" s="119"/>
      <c r="F31" s="119"/>
      <c r="G31" s="119"/>
      <c r="H31" s="119"/>
      <c r="I31" s="132"/>
      <c r="J31" s="132"/>
      <c r="K31" s="132"/>
      <c r="L31" s="132"/>
      <c r="M31" s="125"/>
      <c r="N31" s="130"/>
      <c r="O31" s="130"/>
      <c r="P31" s="124"/>
      <c r="Q31" s="124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25"/>
      <c r="AE31" s="124"/>
      <c r="AF31" s="124"/>
      <c r="AG31" s="124"/>
      <c r="AH31" s="124"/>
      <c r="AI31" s="124"/>
      <c r="AJ31" s="126"/>
      <c r="AK31" s="127"/>
      <c r="AL31" s="125"/>
      <c r="AM31" s="137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9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1"/>
      <c r="BX31" s="141"/>
      <c r="BY31" s="141"/>
      <c r="BZ31" s="141"/>
      <c r="CA31" s="141"/>
      <c r="CB31" s="141"/>
      <c r="CJ31" s="116"/>
      <c r="CR31" s="116"/>
      <c r="CT31" s="116"/>
    </row>
    <row r="32" spans="1:128">
      <c r="A32" s="129"/>
      <c r="B32" s="124" t="s">
        <v>288</v>
      </c>
      <c r="C32" s="119"/>
      <c r="D32" s="119"/>
      <c r="E32" s="119"/>
      <c r="F32" s="119"/>
      <c r="G32" s="119"/>
      <c r="H32" s="119"/>
      <c r="I32" s="132"/>
      <c r="J32" s="132"/>
      <c r="K32" s="132"/>
      <c r="L32" s="132"/>
      <c r="M32" s="125"/>
      <c r="N32" s="130"/>
      <c r="O32" s="130"/>
      <c r="P32" s="124">
        <f>ROUNDUP(((3.7*20)*3.7)+((4.58*4)*3.7)+((5.2*10)*3.7)+(1.58*3.7)+((1.7*2)*3.7)+((3.2*2)*3.7)+((2.7*3)*3.7)+((3.25*2)*3.7)+((3.55+3)*3.7),0)</f>
        <v>655</v>
      </c>
      <c r="Q32" s="124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>
        <f>ROUNDUP((62*3.7),0)</f>
        <v>230</v>
      </c>
      <c r="AC32" s="119"/>
      <c r="AD32" s="125">
        <f>ROUNDUP((3.7*15)+(5.2*14)+(4.58*5)+(1.7*4)+(3.25*3),0)</f>
        <v>168</v>
      </c>
      <c r="AE32" s="124"/>
      <c r="AF32" s="124"/>
      <c r="AG32" s="124"/>
      <c r="AH32" s="124"/>
      <c r="AI32" s="124"/>
      <c r="AJ32" s="126"/>
      <c r="AK32" s="127"/>
      <c r="AL32" s="125"/>
      <c r="AM32" s="137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9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1"/>
      <c r="BX32" s="141"/>
      <c r="BY32" s="141"/>
      <c r="BZ32" s="141"/>
      <c r="CA32" s="141"/>
      <c r="CB32" s="141"/>
      <c r="CJ32" s="116"/>
      <c r="CR32" s="116"/>
      <c r="CT32" s="116"/>
    </row>
    <row r="33" spans="1:128">
      <c r="A33" s="129"/>
      <c r="B33" s="124" t="s">
        <v>289</v>
      </c>
      <c r="C33" s="119"/>
      <c r="D33" s="119"/>
      <c r="E33" s="119"/>
      <c r="F33" s="119"/>
      <c r="G33" s="119"/>
      <c r="H33" s="119"/>
      <c r="I33" s="132"/>
      <c r="J33" s="132"/>
      <c r="K33" s="132"/>
      <c r="L33" s="132"/>
      <c r="M33" s="125"/>
      <c r="N33" s="130"/>
      <c r="O33" s="130"/>
      <c r="P33" s="124"/>
      <c r="Q33" s="124">
        <f>ROUNDUP(((3.7*15)*3.7)+(0.7*3.7)+(3.2*3.7)+(1.5*3.7),0)</f>
        <v>226</v>
      </c>
      <c r="R33" s="119"/>
      <c r="S33" s="119"/>
      <c r="T33" s="119">
        <f>ROUNDUP((((3.7*2)+(3.75*4)+(1.75*2))*1.2)+((48.4+7+7+4.2+5.43+4.3+5.8+6.5+3+21.8+3.3+28)*4)+(1.6*4)+((1.2*11)*4),0)</f>
        <v>670</v>
      </c>
      <c r="U33" s="119">
        <f>ROUNDUP((30*8)+((94+18.85+27+18+24+(30.5*3)+22.4+13.6+(9.15*3)+19)*3.7),0)</f>
        <v>1557</v>
      </c>
      <c r="V33" s="119">
        <f>T33+U33</f>
        <v>2227</v>
      </c>
      <c r="W33" s="119"/>
      <c r="X33" s="119"/>
      <c r="Y33" s="119"/>
      <c r="Z33" s="119"/>
      <c r="AA33" s="119"/>
      <c r="AB33" s="119"/>
      <c r="AC33" s="119">
        <f>ROUNDUP(5*3.7,0)</f>
        <v>19</v>
      </c>
      <c r="AD33" s="125">
        <f>ROUNDUP((3.7*14)+3.2+0.7,0)</f>
        <v>56</v>
      </c>
      <c r="AE33" s="124"/>
      <c r="AF33" s="124"/>
      <c r="AG33" s="124"/>
      <c r="AH33" s="124"/>
      <c r="AI33" s="124"/>
      <c r="AJ33" s="126">
        <f>T33</f>
        <v>670</v>
      </c>
      <c r="AK33" s="127">
        <f>U33</f>
        <v>1557</v>
      </c>
      <c r="AL33" s="125"/>
      <c r="AM33" s="137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9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1"/>
      <c r="BX33" s="141"/>
      <c r="BY33" s="141"/>
      <c r="BZ33" s="141"/>
      <c r="CA33" s="141"/>
      <c r="CB33" s="141"/>
    </row>
    <row r="34" spans="1:128">
      <c r="A34" s="129"/>
      <c r="B34" s="124"/>
      <c r="C34" s="119"/>
      <c r="D34" s="119"/>
      <c r="E34" s="119"/>
      <c r="F34" s="119"/>
      <c r="G34" s="119"/>
      <c r="H34" s="119"/>
      <c r="I34" s="132"/>
      <c r="J34" s="132"/>
      <c r="K34" s="132"/>
      <c r="L34" s="132"/>
      <c r="M34" s="125"/>
      <c r="N34" s="130"/>
      <c r="O34" s="130"/>
      <c r="P34" s="124"/>
      <c r="Q34" s="124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5"/>
      <c r="AE34" s="124"/>
      <c r="AF34" s="124"/>
      <c r="AG34" s="124"/>
      <c r="AH34" s="124"/>
      <c r="AI34" s="124"/>
      <c r="AJ34" s="124"/>
      <c r="AK34" s="127">
        <f>U34</f>
        <v>0</v>
      </c>
      <c r="AL34" s="125"/>
      <c r="AM34" s="137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9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1"/>
      <c r="BX34" s="141"/>
      <c r="BY34" s="141"/>
      <c r="BZ34" s="141"/>
      <c r="CA34" s="141"/>
      <c r="CB34" s="141"/>
    </row>
    <row r="35" spans="1:128">
      <c r="A35" s="129"/>
      <c r="B35" s="124"/>
      <c r="C35" s="119"/>
      <c r="D35" s="119"/>
      <c r="E35" s="119"/>
      <c r="F35" s="119"/>
      <c r="G35" s="119"/>
      <c r="H35" s="119"/>
      <c r="I35" s="132"/>
      <c r="J35" s="132"/>
      <c r="K35" s="132"/>
      <c r="L35" s="132"/>
      <c r="M35" s="125"/>
      <c r="N35" s="130"/>
      <c r="O35" s="130"/>
      <c r="P35" s="124"/>
      <c r="Q35" s="124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25"/>
      <c r="AE35" s="124"/>
      <c r="AF35" s="124"/>
      <c r="AG35" s="124"/>
      <c r="AH35" s="124"/>
      <c r="AI35" s="124"/>
      <c r="AJ35" s="124"/>
      <c r="AK35" s="119"/>
      <c r="AL35" s="125"/>
      <c r="AM35" s="137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9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1"/>
      <c r="BX35" s="141"/>
      <c r="BY35" s="141"/>
      <c r="BZ35" s="141"/>
      <c r="CA35" s="141"/>
      <c r="CB35" s="141"/>
    </row>
    <row r="36" spans="1:128" ht="24">
      <c r="A36" s="129"/>
      <c r="B36" s="142" t="s">
        <v>28</v>
      </c>
      <c r="C36" s="143">
        <f>ROUNDUP(SUM(C11:C35),0)</f>
        <v>707</v>
      </c>
      <c r="D36" s="143">
        <f t="shared" ref="D36:AH36" si="5">ROUNDUP(SUM(D11:D35),0)</f>
        <v>120</v>
      </c>
      <c r="E36" s="143">
        <f t="shared" si="5"/>
        <v>0</v>
      </c>
      <c r="F36" s="143">
        <f t="shared" si="5"/>
        <v>64</v>
      </c>
      <c r="G36" s="143">
        <f t="shared" si="5"/>
        <v>39</v>
      </c>
      <c r="H36" s="143">
        <f t="shared" si="5"/>
        <v>0</v>
      </c>
      <c r="I36" s="143">
        <f t="shared" si="5"/>
        <v>0</v>
      </c>
      <c r="J36" s="143">
        <f t="shared" si="5"/>
        <v>0</v>
      </c>
      <c r="K36" s="143">
        <f t="shared" si="5"/>
        <v>0</v>
      </c>
      <c r="L36" s="143">
        <f t="shared" si="5"/>
        <v>0</v>
      </c>
      <c r="M36" s="143">
        <f t="shared" si="5"/>
        <v>64</v>
      </c>
      <c r="N36" s="143">
        <f t="shared" si="5"/>
        <v>0</v>
      </c>
      <c r="O36" s="143">
        <f t="shared" si="5"/>
        <v>0</v>
      </c>
      <c r="P36" s="143">
        <f t="shared" si="5"/>
        <v>655</v>
      </c>
      <c r="Q36" s="143">
        <f t="shared" si="5"/>
        <v>226</v>
      </c>
      <c r="R36" s="143">
        <f t="shared" si="5"/>
        <v>0</v>
      </c>
      <c r="S36" s="143">
        <f t="shared" si="5"/>
        <v>0</v>
      </c>
      <c r="T36" s="143">
        <f t="shared" si="5"/>
        <v>670</v>
      </c>
      <c r="U36" s="143">
        <f t="shared" si="5"/>
        <v>1557</v>
      </c>
      <c r="V36" s="143">
        <f t="shared" si="5"/>
        <v>2227</v>
      </c>
      <c r="W36" s="143">
        <f t="shared" si="5"/>
        <v>177</v>
      </c>
      <c r="X36" s="143">
        <f t="shared" si="5"/>
        <v>0</v>
      </c>
      <c r="Y36" s="143">
        <f t="shared" si="5"/>
        <v>0</v>
      </c>
      <c r="Z36" s="143">
        <f t="shared" si="5"/>
        <v>0</v>
      </c>
      <c r="AA36" s="143">
        <f t="shared" si="5"/>
        <v>0</v>
      </c>
      <c r="AB36" s="143">
        <f t="shared" si="5"/>
        <v>230</v>
      </c>
      <c r="AC36" s="143">
        <f t="shared" si="5"/>
        <v>19</v>
      </c>
      <c r="AD36" s="143">
        <f t="shared" si="5"/>
        <v>224</v>
      </c>
      <c r="AE36" s="143">
        <f t="shared" si="5"/>
        <v>445</v>
      </c>
      <c r="AF36" s="143">
        <f t="shared" si="5"/>
        <v>171</v>
      </c>
      <c r="AG36" s="143">
        <f t="shared" si="5"/>
        <v>0</v>
      </c>
      <c r="AH36" s="143">
        <f t="shared" si="5"/>
        <v>314</v>
      </c>
      <c r="AI36" s="143">
        <f t="shared" ref="AI36:CB36" si="6">ROUNDUP(SUM(AI11:AI35),0)</f>
        <v>0</v>
      </c>
      <c r="AJ36" s="143">
        <f t="shared" si="6"/>
        <v>670</v>
      </c>
      <c r="AK36" s="143">
        <f t="shared" si="6"/>
        <v>1557</v>
      </c>
      <c r="AL36" s="143">
        <f t="shared" si="6"/>
        <v>930</v>
      </c>
      <c r="AM36" s="143">
        <f t="shared" si="6"/>
        <v>2</v>
      </c>
      <c r="AN36" s="143">
        <f t="shared" si="6"/>
        <v>1</v>
      </c>
      <c r="AO36" s="143">
        <f t="shared" si="6"/>
        <v>1</v>
      </c>
      <c r="AP36" s="143">
        <f t="shared" si="6"/>
        <v>2</v>
      </c>
      <c r="AQ36" s="143">
        <f t="shared" si="6"/>
        <v>5</v>
      </c>
      <c r="AR36" s="143">
        <f t="shared" si="6"/>
        <v>2</v>
      </c>
      <c r="AS36" s="143">
        <f t="shared" si="6"/>
        <v>2</v>
      </c>
      <c r="AT36" s="143">
        <f t="shared" si="6"/>
        <v>3</v>
      </c>
      <c r="AU36" s="143">
        <f t="shared" si="6"/>
        <v>1</v>
      </c>
      <c r="AV36" s="143">
        <f t="shared" si="6"/>
        <v>0</v>
      </c>
      <c r="AW36" s="143">
        <f t="shared" si="6"/>
        <v>0</v>
      </c>
      <c r="AX36" s="143">
        <f t="shared" si="6"/>
        <v>0</v>
      </c>
      <c r="AY36" s="143">
        <f t="shared" si="6"/>
        <v>0</v>
      </c>
      <c r="AZ36" s="143">
        <f t="shared" si="6"/>
        <v>0</v>
      </c>
      <c r="BA36" s="143">
        <f t="shared" si="6"/>
        <v>0</v>
      </c>
      <c r="BB36" s="143">
        <f t="shared" si="6"/>
        <v>0</v>
      </c>
      <c r="BC36" s="143">
        <f t="shared" si="6"/>
        <v>0</v>
      </c>
      <c r="BD36" s="143">
        <f t="shared" si="6"/>
        <v>1</v>
      </c>
      <c r="BE36" s="143">
        <f t="shared" si="6"/>
        <v>1</v>
      </c>
      <c r="BF36" s="143">
        <f t="shared" si="6"/>
        <v>5</v>
      </c>
      <c r="BG36" s="143">
        <f t="shared" si="6"/>
        <v>1</v>
      </c>
      <c r="BH36" s="143">
        <f t="shared" si="6"/>
        <v>1</v>
      </c>
      <c r="BI36" s="143">
        <f t="shared" si="6"/>
        <v>1</v>
      </c>
      <c r="BJ36" s="143">
        <f t="shared" si="6"/>
        <v>1</v>
      </c>
      <c r="BK36" s="143">
        <f t="shared" si="6"/>
        <v>1</v>
      </c>
      <c r="BL36" s="143">
        <f t="shared" si="6"/>
        <v>0</v>
      </c>
      <c r="BM36" s="143">
        <f t="shared" si="6"/>
        <v>0</v>
      </c>
      <c r="BN36" s="143">
        <f t="shared" si="6"/>
        <v>0</v>
      </c>
      <c r="BO36" s="143">
        <f t="shared" si="6"/>
        <v>0</v>
      </c>
      <c r="BP36" s="143">
        <f t="shared" si="6"/>
        <v>0</v>
      </c>
      <c r="BQ36" s="143">
        <f t="shared" si="6"/>
        <v>0</v>
      </c>
      <c r="BR36" s="143">
        <f t="shared" si="6"/>
        <v>0</v>
      </c>
      <c r="BS36" s="143">
        <f t="shared" si="6"/>
        <v>0</v>
      </c>
      <c r="BT36" s="143">
        <f t="shared" si="6"/>
        <v>0</v>
      </c>
      <c r="BU36" s="143">
        <f t="shared" si="6"/>
        <v>0</v>
      </c>
      <c r="BV36" s="143">
        <f t="shared" si="6"/>
        <v>0</v>
      </c>
      <c r="BW36" s="143">
        <f t="shared" si="6"/>
        <v>0</v>
      </c>
      <c r="BX36" s="143">
        <f t="shared" si="6"/>
        <v>0</v>
      </c>
      <c r="BY36" s="143">
        <f t="shared" si="6"/>
        <v>0</v>
      </c>
      <c r="BZ36" s="143">
        <f t="shared" si="6"/>
        <v>0</v>
      </c>
      <c r="CA36" s="143">
        <f t="shared" si="6"/>
        <v>0</v>
      </c>
      <c r="CB36" s="143">
        <f t="shared" si="6"/>
        <v>0</v>
      </c>
    </row>
    <row r="37" spans="1:128" ht="24">
      <c r="A37" s="129"/>
      <c r="B37" s="144"/>
      <c r="C37" s="145"/>
      <c r="D37" s="145"/>
      <c r="E37" s="145"/>
      <c r="F37" s="145"/>
      <c r="G37" s="145"/>
      <c r="H37" s="145"/>
      <c r="I37" s="146"/>
      <c r="J37" s="146"/>
      <c r="K37" s="146"/>
      <c r="L37" s="146"/>
      <c r="M37" s="147"/>
      <c r="N37" s="148"/>
      <c r="O37" s="148"/>
      <c r="P37" s="149"/>
      <c r="Q37" s="149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7"/>
      <c r="AE37" s="149"/>
      <c r="AF37" s="149"/>
      <c r="AG37" s="149"/>
      <c r="AH37" s="149"/>
      <c r="AI37" s="149"/>
      <c r="AJ37" s="149"/>
      <c r="AK37" s="145"/>
      <c r="AL37" s="147"/>
      <c r="AM37" s="150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2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4"/>
      <c r="BX37" s="154"/>
      <c r="BY37" s="154"/>
      <c r="BZ37" s="154"/>
      <c r="CA37" s="154"/>
      <c r="CB37" s="154"/>
    </row>
    <row r="38" spans="1:128" s="62" customFormat="1">
      <c r="A38" s="129"/>
      <c r="B38" s="155" t="s">
        <v>238</v>
      </c>
      <c r="C38" s="103"/>
      <c r="D38" s="103"/>
      <c r="E38" s="103"/>
      <c r="F38" s="103"/>
      <c r="G38" s="103"/>
      <c r="H38" s="103"/>
      <c r="I38" s="156"/>
      <c r="J38" s="156"/>
      <c r="K38" s="156"/>
      <c r="L38" s="156"/>
      <c r="M38" s="106"/>
      <c r="N38" s="107"/>
      <c r="O38" s="107"/>
      <c r="P38" s="108"/>
      <c r="Q38" s="108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9"/>
      <c r="AE38" s="110"/>
      <c r="AF38" s="110"/>
      <c r="AG38" s="110"/>
      <c r="AH38" s="110"/>
      <c r="AI38" s="110"/>
      <c r="AJ38" s="108"/>
      <c r="AK38" s="103"/>
      <c r="AL38" s="109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9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1"/>
      <c r="BX38" s="161"/>
      <c r="BY38" s="161"/>
      <c r="BZ38" s="161"/>
      <c r="CA38" s="161"/>
      <c r="CB38" s="161"/>
      <c r="CG38" s="216"/>
      <c r="CH38" s="216"/>
      <c r="DT38" s="63"/>
      <c r="DU38" s="63"/>
      <c r="DV38" s="63"/>
      <c r="DW38" s="63"/>
      <c r="DX38" s="63"/>
    </row>
    <row r="39" spans="1:128" s="62" customFormat="1">
      <c r="A39" s="129"/>
      <c r="B39" s="118"/>
      <c r="C39" s="119"/>
      <c r="D39" s="119"/>
      <c r="E39" s="119"/>
      <c r="F39" s="119"/>
      <c r="G39" s="119"/>
      <c r="H39" s="119"/>
      <c r="I39" s="132"/>
      <c r="J39" s="132"/>
      <c r="K39" s="132"/>
      <c r="L39" s="132"/>
      <c r="M39" s="122"/>
      <c r="N39" s="123"/>
      <c r="O39" s="123"/>
      <c r="P39" s="124"/>
      <c r="Q39" s="124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25"/>
      <c r="AE39" s="126"/>
      <c r="AF39" s="126"/>
      <c r="AG39" s="126"/>
      <c r="AH39" s="126"/>
      <c r="AI39" s="126"/>
      <c r="AJ39" s="124"/>
      <c r="AK39" s="119"/>
      <c r="AL39" s="128"/>
      <c r="AM39" s="137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9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1"/>
      <c r="BX39" s="141"/>
      <c r="BY39" s="141"/>
      <c r="BZ39" s="141"/>
      <c r="CA39" s="141"/>
      <c r="CB39" s="141"/>
      <c r="DT39" s="63"/>
      <c r="DU39" s="63"/>
      <c r="DV39" s="63"/>
      <c r="DW39" s="63"/>
      <c r="DX39" s="63"/>
    </row>
    <row r="40" spans="1:128" s="62" customFormat="1">
      <c r="A40" s="101">
        <v>1</v>
      </c>
      <c r="B40" s="118" t="s">
        <v>251</v>
      </c>
      <c r="C40" s="119"/>
      <c r="D40" s="119">
        <f>ROUNDUP(43*1.2,0)</f>
        <v>52</v>
      </c>
      <c r="E40" s="119"/>
      <c r="F40" s="119"/>
      <c r="G40" s="119"/>
      <c r="H40" s="119"/>
      <c r="I40" s="132"/>
      <c r="J40" s="132"/>
      <c r="K40" s="132"/>
      <c r="L40" s="132"/>
      <c r="M40" s="125">
        <f t="shared" ref="M40:M45" si="7">SUM(E40,F40)</f>
        <v>0</v>
      </c>
      <c r="N40" s="130"/>
      <c r="O40" s="124"/>
      <c r="P40" s="124"/>
      <c r="Q40" s="124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25"/>
      <c r="AE40" s="126">
        <f>D40</f>
        <v>52</v>
      </c>
      <c r="AF40" s="126"/>
      <c r="AG40" s="126"/>
      <c r="AH40" s="126"/>
      <c r="AI40" s="126"/>
      <c r="AJ40" s="124"/>
      <c r="AK40" s="119"/>
      <c r="AL40" s="128">
        <f>SUM(AE40:AH40)</f>
        <v>52</v>
      </c>
      <c r="AM40" s="137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9"/>
      <c r="BL40" s="140">
        <v>1</v>
      </c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1"/>
      <c r="BX40" s="141"/>
      <c r="BY40" s="141"/>
      <c r="BZ40" s="141"/>
      <c r="CA40" s="141"/>
      <c r="CB40" s="141"/>
      <c r="CG40" s="216"/>
      <c r="DT40" s="63"/>
      <c r="DU40" s="63"/>
      <c r="DV40" s="63"/>
      <c r="DW40" s="63"/>
      <c r="DX40" s="63"/>
    </row>
    <row r="41" spans="1:128" s="62" customFormat="1">
      <c r="A41" s="101">
        <v>2</v>
      </c>
      <c r="B41" s="124" t="s">
        <v>262</v>
      </c>
      <c r="C41" s="119"/>
      <c r="D41" s="119"/>
      <c r="E41" s="119"/>
      <c r="F41" s="119"/>
      <c r="G41" s="119"/>
      <c r="H41" s="119"/>
      <c r="I41" s="132"/>
      <c r="J41" s="132"/>
      <c r="K41" s="132"/>
      <c r="L41" s="132"/>
      <c r="M41" s="125">
        <f t="shared" si="7"/>
        <v>0</v>
      </c>
      <c r="N41" s="130"/>
      <c r="O41" s="130"/>
      <c r="P41" s="130"/>
      <c r="Q41" s="124"/>
      <c r="R41" s="119"/>
      <c r="S41" s="119"/>
      <c r="T41" s="119"/>
      <c r="U41" s="119"/>
      <c r="V41" s="119"/>
      <c r="W41" s="119"/>
      <c r="X41" s="119">
        <f>ROUNDUP(54*3.7,0)</f>
        <v>200</v>
      </c>
      <c r="Y41" s="119"/>
      <c r="Z41" s="119"/>
      <c r="AA41" s="119"/>
      <c r="AB41" s="119"/>
      <c r="AC41" s="119"/>
      <c r="AD41" s="125"/>
      <c r="AE41" s="126"/>
      <c r="AF41" s="126"/>
      <c r="AG41" s="126"/>
      <c r="AH41" s="126"/>
      <c r="AI41" s="126"/>
      <c r="AJ41" s="124"/>
      <c r="AK41" s="119"/>
      <c r="AL41" s="128"/>
      <c r="AM41" s="137"/>
      <c r="AN41" s="138"/>
      <c r="AO41" s="138"/>
      <c r="AP41" s="138"/>
      <c r="AQ41" s="138"/>
      <c r="AR41" s="138"/>
      <c r="AS41" s="138"/>
      <c r="AT41" s="138"/>
      <c r="AU41" s="138"/>
      <c r="AV41" s="138">
        <v>2</v>
      </c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9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1"/>
      <c r="BX41" s="141"/>
      <c r="BY41" s="141"/>
      <c r="BZ41" s="141"/>
      <c r="CA41" s="141"/>
      <c r="CB41" s="141"/>
      <c r="DT41" s="63"/>
      <c r="DU41" s="63"/>
      <c r="DV41" s="63"/>
      <c r="DW41" s="63"/>
      <c r="DX41" s="63"/>
    </row>
    <row r="42" spans="1:128" s="62" customFormat="1">
      <c r="A42" s="101">
        <v>3</v>
      </c>
      <c r="B42" s="124" t="s">
        <v>263</v>
      </c>
      <c r="C42" s="119"/>
      <c r="D42" s="119"/>
      <c r="E42" s="119">
        <f>ROUNDUP(273*1.2,0)</f>
        <v>328</v>
      </c>
      <c r="F42" s="119"/>
      <c r="G42" s="119"/>
      <c r="H42" s="119"/>
      <c r="I42" s="132"/>
      <c r="J42" s="132"/>
      <c r="K42" s="132"/>
      <c r="L42" s="132"/>
      <c r="M42" s="125">
        <f t="shared" si="7"/>
        <v>328</v>
      </c>
      <c r="N42" s="130"/>
      <c r="O42" s="130"/>
      <c r="P42" s="124"/>
      <c r="Q42" s="124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5"/>
      <c r="AE42" s="126">
        <f>E42</f>
        <v>328</v>
      </c>
      <c r="AF42" s="126"/>
      <c r="AG42" s="126"/>
      <c r="AH42" s="126"/>
      <c r="AI42" s="126"/>
      <c r="AJ42" s="124"/>
      <c r="AK42" s="119"/>
      <c r="AL42" s="128">
        <f t="shared" ref="AL42:AL50" si="8">SUM(AE42:AH42)</f>
        <v>328</v>
      </c>
      <c r="AM42" s="137"/>
      <c r="AN42" s="138"/>
      <c r="AO42" s="138"/>
      <c r="AP42" s="138"/>
      <c r="AQ42" s="138">
        <v>2</v>
      </c>
      <c r="AR42" s="138"/>
      <c r="AS42" s="138"/>
      <c r="AT42" s="138"/>
      <c r="AU42" s="138"/>
      <c r="AV42" s="138">
        <v>4</v>
      </c>
      <c r="AW42" s="138"/>
      <c r="AX42" s="138"/>
      <c r="AY42" s="138"/>
      <c r="AZ42" s="138"/>
      <c r="BA42" s="138"/>
      <c r="BB42" s="138"/>
      <c r="BC42" s="138"/>
      <c r="BD42" s="138"/>
      <c r="BE42" s="138"/>
      <c r="BF42" s="138">
        <v>4</v>
      </c>
      <c r="BG42" s="138">
        <v>2</v>
      </c>
      <c r="BH42" s="138"/>
      <c r="BI42" s="138"/>
      <c r="BJ42" s="138"/>
      <c r="BK42" s="139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1"/>
      <c r="BX42" s="141"/>
      <c r="BY42" s="141"/>
      <c r="BZ42" s="141"/>
      <c r="CA42" s="141"/>
      <c r="CB42" s="141"/>
      <c r="DT42" s="63"/>
      <c r="DU42" s="63"/>
      <c r="DV42" s="63"/>
      <c r="DW42" s="63"/>
      <c r="DX42" s="63"/>
    </row>
    <row r="43" spans="1:128" s="62" customFormat="1">
      <c r="A43" s="101">
        <v>4</v>
      </c>
      <c r="B43" s="118" t="s">
        <v>264</v>
      </c>
      <c r="C43" s="119">
        <v>120</v>
      </c>
      <c r="D43" s="119"/>
      <c r="E43" s="119"/>
      <c r="F43" s="119"/>
      <c r="G43" s="119"/>
      <c r="H43" s="119"/>
      <c r="I43" s="132"/>
      <c r="J43" s="132"/>
      <c r="K43" s="132"/>
      <c r="L43" s="132"/>
      <c r="M43" s="125">
        <f t="shared" si="7"/>
        <v>0</v>
      </c>
      <c r="N43" s="130"/>
      <c r="O43" s="124"/>
      <c r="P43" s="124"/>
      <c r="Q43" s="124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25"/>
      <c r="AE43" s="126">
        <f>C43</f>
        <v>120</v>
      </c>
      <c r="AF43" s="126"/>
      <c r="AG43" s="126"/>
      <c r="AH43" s="126"/>
      <c r="AI43" s="126"/>
      <c r="AJ43" s="124"/>
      <c r="AK43" s="119"/>
      <c r="AL43" s="128">
        <f t="shared" si="8"/>
        <v>120</v>
      </c>
      <c r="AM43" s="137"/>
      <c r="AN43" s="138"/>
      <c r="AO43" s="138"/>
      <c r="AP43" s="138"/>
      <c r="AQ43" s="138">
        <v>1</v>
      </c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>
        <v>2</v>
      </c>
      <c r="BG43" s="138">
        <v>2</v>
      </c>
      <c r="BH43" s="138"/>
      <c r="BI43" s="138"/>
      <c r="BJ43" s="138"/>
      <c r="BK43" s="139"/>
      <c r="BL43" s="140"/>
      <c r="BM43" s="140">
        <v>2</v>
      </c>
      <c r="BN43" s="140"/>
      <c r="BO43" s="140"/>
      <c r="BP43" s="140"/>
      <c r="BQ43" s="140"/>
      <c r="BR43" s="140"/>
      <c r="BS43" s="140"/>
      <c r="BT43" s="140"/>
      <c r="BU43" s="140"/>
      <c r="BV43" s="140"/>
      <c r="BW43" s="141"/>
      <c r="BX43" s="141"/>
      <c r="BY43" s="141"/>
      <c r="BZ43" s="141"/>
      <c r="CA43" s="141"/>
      <c r="CB43" s="141"/>
      <c r="DT43" s="63"/>
      <c r="DU43" s="63"/>
      <c r="DV43" s="63"/>
      <c r="DW43" s="63"/>
      <c r="DX43" s="63"/>
    </row>
    <row r="44" spans="1:128" s="62" customFormat="1">
      <c r="A44" s="101">
        <v>5</v>
      </c>
      <c r="B44" s="118" t="s">
        <v>265</v>
      </c>
      <c r="C44" s="119">
        <v>54</v>
      </c>
      <c r="D44" s="119"/>
      <c r="E44" s="119"/>
      <c r="F44" s="119"/>
      <c r="G44" s="119"/>
      <c r="H44" s="119"/>
      <c r="I44" s="132"/>
      <c r="J44" s="132"/>
      <c r="K44" s="132"/>
      <c r="L44" s="132"/>
      <c r="M44" s="125">
        <f t="shared" si="7"/>
        <v>0</v>
      </c>
      <c r="N44" s="130"/>
      <c r="O44" s="130"/>
      <c r="P44" s="124"/>
      <c r="Q44" s="124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25"/>
      <c r="AE44" s="126">
        <f>C44</f>
        <v>54</v>
      </c>
      <c r="AF44" s="126"/>
      <c r="AG44" s="126"/>
      <c r="AH44" s="126"/>
      <c r="AI44" s="126"/>
      <c r="AJ44" s="124"/>
      <c r="AK44" s="119"/>
      <c r="AL44" s="128">
        <f t="shared" si="8"/>
        <v>54</v>
      </c>
      <c r="AM44" s="137"/>
      <c r="AN44" s="138"/>
      <c r="AO44" s="138"/>
      <c r="AP44" s="138"/>
      <c r="AQ44" s="138">
        <v>1</v>
      </c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>
        <v>1</v>
      </c>
      <c r="BG44" s="138"/>
      <c r="BH44" s="138"/>
      <c r="BI44" s="138"/>
      <c r="BJ44" s="138"/>
      <c r="BK44" s="139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1"/>
      <c r="BX44" s="141"/>
      <c r="BY44" s="141"/>
      <c r="BZ44" s="141"/>
      <c r="CA44" s="141"/>
      <c r="CB44" s="141"/>
      <c r="DT44" s="63"/>
      <c r="DU44" s="63"/>
      <c r="DV44" s="63"/>
      <c r="DW44" s="63"/>
      <c r="DX44" s="63"/>
    </row>
    <row r="45" spans="1:128" s="62" customFormat="1">
      <c r="A45" s="101">
        <v>6</v>
      </c>
      <c r="B45" s="124" t="s">
        <v>256</v>
      </c>
      <c r="C45" s="119">
        <v>260</v>
      </c>
      <c r="D45" s="119"/>
      <c r="E45" s="119"/>
      <c r="F45" s="119"/>
      <c r="G45" s="119"/>
      <c r="H45" s="119"/>
      <c r="I45" s="132"/>
      <c r="J45" s="132"/>
      <c r="K45" s="132"/>
      <c r="L45" s="132"/>
      <c r="M45" s="125">
        <f t="shared" si="7"/>
        <v>0</v>
      </c>
      <c r="N45" s="130"/>
      <c r="O45" s="130"/>
      <c r="P45" s="124"/>
      <c r="Q45" s="124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25"/>
      <c r="AE45" s="126"/>
      <c r="AF45" s="126"/>
      <c r="AG45" s="126"/>
      <c r="AH45" s="126">
        <f>C45</f>
        <v>260</v>
      </c>
      <c r="AI45" s="126"/>
      <c r="AJ45" s="124"/>
      <c r="AK45" s="119"/>
      <c r="AL45" s="128">
        <f t="shared" si="8"/>
        <v>260</v>
      </c>
      <c r="AM45" s="137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9"/>
      <c r="BL45" s="140">
        <v>1</v>
      </c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1"/>
      <c r="BX45" s="141"/>
      <c r="BY45" s="141"/>
      <c r="BZ45" s="141"/>
      <c r="CA45" s="141"/>
      <c r="CB45" s="141"/>
      <c r="DT45" s="63"/>
      <c r="DU45" s="63"/>
      <c r="DV45" s="63"/>
      <c r="DW45" s="63"/>
      <c r="DX45" s="63"/>
    </row>
    <row r="46" spans="1:128" s="62" customFormat="1">
      <c r="A46" s="101">
        <v>7</v>
      </c>
      <c r="B46" s="124" t="s">
        <v>257</v>
      </c>
      <c r="C46" s="119"/>
      <c r="D46" s="119"/>
      <c r="E46" s="119"/>
      <c r="F46" s="119">
        <f>ROUNDUP(31.15*1.2,0)</f>
        <v>38</v>
      </c>
      <c r="G46" s="119"/>
      <c r="H46" s="119"/>
      <c r="I46" s="132"/>
      <c r="J46" s="132"/>
      <c r="K46" s="132"/>
      <c r="L46" s="132"/>
      <c r="M46" s="125">
        <f>SUM(E46,F46)</f>
        <v>38</v>
      </c>
      <c r="N46" s="130"/>
      <c r="O46" s="130"/>
      <c r="P46" s="124"/>
      <c r="Q46" s="124"/>
      <c r="R46" s="119"/>
      <c r="S46" s="119"/>
      <c r="T46" s="119"/>
      <c r="U46" s="119"/>
      <c r="V46" s="119"/>
      <c r="W46" s="119">
        <f>ROUNDUP((18*3.5)*1.2,0)</f>
        <v>76</v>
      </c>
      <c r="X46" s="119"/>
      <c r="Y46" s="119"/>
      <c r="Z46" s="119"/>
      <c r="AA46" s="119"/>
      <c r="AB46" s="119"/>
      <c r="AC46" s="119"/>
      <c r="AD46" s="125"/>
      <c r="AE46" s="126"/>
      <c r="AF46" s="126">
        <f>F46</f>
        <v>38</v>
      </c>
      <c r="AG46" s="126"/>
      <c r="AH46" s="126"/>
      <c r="AI46" s="126"/>
      <c r="AJ46" s="124"/>
      <c r="AK46" s="119"/>
      <c r="AL46" s="128">
        <f t="shared" si="8"/>
        <v>38</v>
      </c>
      <c r="AM46" s="137"/>
      <c r="AN46" s="138"/>
      <c r="AO46" s="138"/>
      <c r="AP46" s="138"/>
      <c r="AQ46" s="138"/>
      <c r="AR46" s="138">
        <v>1</v>
      </c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9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1"/>
      <c r="BX46" s="141"/>
      <c r="BY46" s="141"/>
      <c r="BZ46" s="141"/>
      <c r="CA46" s="141"/>
      <c r="CB46" s="141"/>
      <c r="DT46" s="63"/>
      <c r="DU46" s="63"/>
      <c r="DV46" s="63"/>
      <c r="DW46" s="63"/>
      <c r="DX46" s="63"/>
    </row>
    <row r="47" spans="1:128" s="62" customFormat="1">
      <c r="A47" s="101">
        <v>8</v>
      </c>
      <c r="B47" s="124" t="s">
        <v>258</v>
      </c>
      <c r="C47" s="119"/>
      <c r="D47" s="119"/>
      <c r="E47" s="119"/>
      <c r="F47" s="119">
        <f>ROUNDUP(21.35*1.2,0)</f>
        <v>26</v>
      </c>
      <c r="G47" s="119"/>
      <c r="H47" s="119"/>
      <c r="I47" s="132"/>
      <c r="J47" s="132"/>
      <c r="K47" s="132"/>
      <c r="L47" s="132"/>
      <c r="M47" s="125">
        <f>SUM(E47,F47)</f>
        <v>26</v>
      </c>
      <c r="N47" s="130"/>
      <c r="O47" s="130"/>
      <c r="P47" s="124"/>
      <c r="Q47" s="124"/>
      <c r="R47" s="119"/>
      <c r="S47" s="119"/>
      <c r="T47" s="119"/>
      <c r="U47" s="119"/>
      <c r="V47" s="119"/>
      <c r="W47" s="119">
        <f>ROUNDUP((24*3.5)*1.2,0)</f>
        <v>101</v>
      </c>
      <c r="X47" s="119"/>
      <c r="Y47" s="119"/>
      <c r="Z47" s="119"/>
      <c r="AA47" s="119"/>
      <c r="AB47" s="119"/>
      <c r="AC47" s="119"/>
      <c r="AD47" s="125"/>
      <c r="AE47" s="126"/>
      <c r="AF47" s="126">
        <f>F47</f>
        <v>26</v>
      </c>
      <c r="AG47" s="126"/>
      <c r="AH47" s="126"/>
      <c r="AI47" s="126"/>
      <c r="AJ47" s="124"/>
      <c r="AK47" s="119"/>
      <c r="AL47" s="128">
        <f t="shared" si="8"/>
        <v>26</v>
      </c>
      <c r="AM47" s="137"/>
      <c r="AN47" s="138"/>
      <c r="AO47" s="138"/>
      <c r="AP47" s="138"/>
      <c r="AQ47" s="138"/>
      <c r="AR47" s="138">
        <v>1</v>
      </c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>
        <v>1</v>
      </c>
      <c r="BI47" s="138">
        <v>1</v>
      </c>
      <c r="BJ47" s="138"/>
      <c r="BK47" s="139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1"/>
      <c r="BX47" s="141"/>
      <c r="BY47" s="141"/>
      <c r="BZ47" s="141"/>
      <c r="CA47" s="141"/>
      <c r="CB47" s="141"/>
      <c r="DT47" s="63"/>
      <c r="DU47" s="63"/>
      <c r="DV47" s="63"/>
      <c r="DW47" s="63"/>
      <c r="DX47" s="63"/>
    </row>
    <row r="48" spans="1:128" s="62" customFormat="1">
      <c r="A48" s="101">
        <v>9</v>
      </c>
      <c r="B48" s="124" t="s">
        <v>259</v>
      </c>
      <c r="C48" s="119">
        <v>47</v>
      </c>
      <c r="D48" s="119"/>
      <c r="E48" s="119"/>
      <c r="F48" s="119"/>
      <c r="G48" s="119"/>
      <c r="H48" s="119"/>
      <c r="I48" s="132"/>
      <c r="J48" s="119"/>
      <c r="K48" s="132"/>
      <c r="L48" s="132"/>
      <c r="M48" s="125">
        <f>SUM(E48,F48)</f>
        <v>0</v>
      </c>
      <c r="N48" s="130"/>
      <c r="O48" s="130"/>
      <c r="P48" s="124"/>
      <c r="Q48" s="124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25"/>
      <c r="AE48" s="126"/>
      <c r="AF48" s="126"/>
      <c r="AG48" s="126"/>
      <c r="AH48" s="126">
        <f>C48</f>
        <v>47</v>
      </c>
      <c r="AI48" s="126"/>
      <c r="AJ48" s="124"/>
      <c r="AK48" s="119"/>
      <c r="AL48" s="128">
        <f t="shared" si="8"/>
        <v>47</v>
      </c>
      <c r="AM48" s="137"/>
      <c r="AN48" s="138">
        <v>1</v>
      </c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9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1"/>
      <c r="BX48" s="141"/>
      <c r="BY48" s="141"/>
      <c r="BZ48" s="141"/>
      <c r="CA48" s="141"/>
      <c r="CB48" s="141"/>
      <c r="DT48" s="63"/>
      <c r="DU48" s="63"/>
      <c r="DV48" s="63"/>
      <c r="DW48" s="63"/>
      <c r="DX48" s="63"/>
    </row>
    <row r="49" spans="1:128" s="62" customFormat="1">
      <c r="A49" s="101">
        <v>10</v>
      </c>
      <c r="B49" s="118" t="s">
        <v>266</v>
      </c>
      <c r="C49" s="119"/>
      <c r="D49" s="119"/>
      <c r="E49" s="119"/>
      <c r="F49" s="119"/>
      <c r="G49" s="119">
        <v>14</v>
      </c>
      <c r="H49" s="119"/>
      <c r="I49" s="132"/>
      <c r="J49" s="132"/>
      <c r="K49" s="132"/>
      <c r="L49" s="132"/>
      <c r="M49" s="125">
        <f>SUM(E49,F49)</f>
        <v>0</v>
      </c>
      <c r="N49" s="130"/>
      <c r="O49" s="124"/>
      <c r="P49" s="124"/>
      <c r="Q49" s="124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25"/>
      <c r="AE49" s="126"/>
      <c r="AF49" s="126"/>
      <c r="AG49" s="126"/>
      <c r="AH49" s="126">
        <f>G49</f>
        <v>14</v>
      </c>
      <c r="AI49" s="126"/>
      <c r="AJ49" s="124"/>
      <c r="AK49" s="119"/>
      <c r="AL49" s="128">
        <f t="shared" si="8"/>
        <v>14</v>
      </c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>
        <v>1</v>
      </c>
      <c r="AX49" s="138"/>
      <c r="AY49" s="138"/>
      <c r="AZ49" s="138"/>
      <c r="BA49" s="138"/>
      <c r="BB49" s="138"/>
      <c r="BC49" s="138"/>
      <c r="BD49" s="138"/>
      <c r="BE49" s="138"/>
      <c r="BF49" s="138"/>
      <c r="BG49" s="138">
        <v>1</v>
      </c>
      <c r="BH49" s="138"/>
      <c r="BI49" s="138"/>
      <c r="BJ49" s="138"/>
      <c r="BK49" s="139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1"/>
      <c r="BX49" s="141"/>
      <c r="BY49" s="141"/>
      <c r="BZ49" s="141"/>
      <c r="CA49" s="141"/>
      <c r="CB49" s="141"/>
      <c r="DT49" s="63"/>
      <c r="DU49" s="63"/>
      <c r="DV49" s="63"/>
      <c r="DW49" s="63"/>
      <c r="DX49" s="63"/>
    </row>
    <row r="50" spans="1:128" s="62" customFormat="1">
      <c r="A50" s="101">
        <v>11</v>
      </c>
      <c r="B50" s="118" t="s">
        <v>237</v>
      </c>
      <c r="C50" s="119"/>
      <c r="D50" s="119"/>
      <c r="E50" s="119"/>
      <c r="F50" s="119"/>
      <c r="G50" s="119">
        <v>8</v>
      </c>
      <c r="H50" s="119"/>
      <c r="I50" s="132"/>
      <c r="J50" s="132"/>
      <c r="K50" s="132"/>
      <c r="L50" s="132"/>
      <c r="M50" s="125"/>
      <c r="N50" s="130"/>
      <c r="O50" s="124"/>
      <c r="P50" s="124"/>
      <c r="Q50" s="124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25"/>
      <c r="AE50" s="126"/>
      <c r="AF50" s="126"/>
      <c r="AG50" s="126"/>
      <c r="AH50" s="126">
        <f>G50</f>
        <v>8</v>
      </c>
      <c r="AI50" s="126"/>
      <c r="AJ50" s="124"/>
      <c r="AK50" s="119"/>
      <c r="AL50" s="128">
        <f t="shared" si="8"/>
        <v>8</v>
      </c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>
        <v>1</v>
      </c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9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1"/>
      <c r="BX50" s="141"/>
      <c r="BY50" s="141"/>
      <c r="BZ50" s="141"/>
      <c r="CA50" s="141"/>
      <c r="CB50" s="141"/>
      <c r="DT50" s="63"/>
      <c r="DU50" s="63"/>
      <c r="DV50" s="63"/>
      <c r="DW50" s="63"/>
      <c r="DX50" s="63"/>
    </row>
    <row r="51" spans="1:128" s="62" customFormat="1">
      <c r="A51" s="162"/>
      <c r="B51" s="124" t="s">
        <v>297</v>
      </c>
      <c r="C51" s="119"/>
      <c r="D51" s="119"/>
      <c r="E51" s="119"/>
      <c r="F51" s="119"/>
      <c r="G51" s="119"/>
      <c r="H51" s="119"/>
      <c r="I51" s="132"/>
      <c r="J51" s="132"/>
      <c r="K51" s="132"/>
      <c r="L51" s="132"/>
      <c r="M51" s="125"/>
      <c r="N51" s="130"/>
      <c r="O51" s="130"/>
      <c r="P51" s="124"/>
      <c r="Q51" s="124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25"/>
      <c r="AE51" s="126"/>
      <c r="AF51" s="126"/>
      <c r="AG51" s="126"/>
      <c r="AH51" s="126"/>
      <c r="AI51" s="126"/>
      <c r="AJ51" s="124"/>
      <c r="AK51" s="119"/>
      <c r="AL51" s="128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9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1"/>
      <c r="BX51" s="141"/>
      <c r="BY51" s="141"/>
      <c r="BZ51" s="141"/>
      <c r="CA51" s="141"/>
      <c r="CB51" s="141"/>
      <c r="DT51" s="63"/>
      <c r="DU51" s="63"/>
      <c r="DV51" s="63"/>
      <c r="DW51" s="63"/>
      <c r="DX51" s="63"/>
    </row>
    <row r="52" spans="1:128" s="62" customFormat="1">
      <c r="A52" s="162"/>
      <c r="B52" s="124"/>
      <c r="C52" s="119"/>
      <c r="D52" s="119"/>
      <c r="E52" s="119"/>
      <c r="F52" s="119"/>
      <c r="G52" s="119"/>
      <c r="H52" s="119">
        <v>12</v>
      </c>
      <c r="I52" s="132"/>
      <c r="J52" s="132"/>
      <c r="K52" s="132"/>
      <c r="L52" s="132"/>
      <c r="M52" s="125"/>
      <c r="N52" s="130"/>
      <c r="O52" s="130"/>
      <c r="P52" s="124"/>
      <c r="Q52" s="124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25"/>
      <c r="AE52" s="126"/>
      <c r="AF52" s="126"/>
      <c r="AG52" s="126"/>
      <c r="AH52" s="126"/>
      <c r="AI52" s="126"/>
      <c r="AJ52" s="124"/>
      <c r="AK52" s="119"/>
      <c r="AL52" s="128"/>
      <c r="AM52" s="137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9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1"/>
      <c r="BX52" s="141"/>
      <c r="BY52" s="141"/>
      <c r="BZ52" s="141"/>
      <c r="CA52" s="141"/>
      <c r="CB52" s="141"/>
      <c r="DT52" s="63"/>
      <c r="DU52" s="63"/>
      <c r="DV52" s="63"/>
      <c r="DW52" s="63"/>
      <c r="DX52" s="63"/>
    </row>
    <row r="53" spans="1:128" s="62" customFormat="1">
      <c r="A53" s="162"/>
      <c r="B53" s="124" t="s">
        <v>288</v>
      </c>
      <c r="C53" s="119"/>
      <c r="D53" s="119"/>
      <c r="E53" s="119"/>
      <c r="F53" s="119"/>
      <c r="G53" s="119"/>
      <c r="H53" s="119"/>
      <c r="I53" s="132"/>
      <c r="J53" s="132"/>
      <c r="K53" s="132"/>
      <c r="L53" s="132"/>
      <c r="M53" s="125"/>
      <c r="N53" s="130"/>
      <c r="O53" s="130"/>
      <c r="P53" s="124">
        <f>ROUNDUP(((3.7*17)+(4.58*4)+(3.2*3)+(5.2*11)+(1.7*3)+21.7+10.7+3+1.5+4+2.7+2.7)*3.7,0)</f>
        <v>738</v>
      </c>
      <c r="Q53" s="124"/>
      <c r="R53" s="119"/>
      <c r="S53" s="119"/>
      <c r="T53" s="119">
        <f>ROUNDUP(((18.15+121)*4)+(((3.7*6)+(1.75*2))*2)*1.2,0)</f>
        <v>619</v>
      </c>
      <c r="U53" s="119">
        <f>ROUNDUP((220+26+24+45.5+47.5+38.6+54+38.6)*3.7,0)</f>
        <v>1829</v>
      </c>
      <c r="V53" s="119"/>
      <c r="W53" s="119"/>
      <c r="X53" s="119"/>
      <c r="Y53" s="119"/>
      <c r="Z53" s="119"/>
      <c r="AA53" s="119"/>
      <c r="AB53" s="119">
        <f>ROUNDUP(68*3.7,0)</f>
        <v>252</v>
      </c>
      <c r="AC53" s="119"/>
      <c r="AD53" s="125">
        <f>ROUNDUP((3.7*26)+(3.2*9)+(5.2*15)+(4.58*4)+(3*2)+(2.7*2)+4,0)</f>
        <v>237</v>
      </c>
      <c r="AE53" s="126"/>
      <c r="AF53" s="126"/>
      <c r="AG53" s="126"/>
      <c r="AH53" s="126"/>
      <c r="AI53" s="126"/>
      <c r="AJ53" s="124">
        <f>T53</f>
        <v>619</v>
      </c>
      <c r="AK53" s="119">
        <f>U53</f>
        <v>1829</v>
      </c>
      <c r="AL53" s="125"/>
      <c r="AM53" s="137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9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1"/>
      <c r="BX53" s="141"/>
      <c r="BY53" s="141"/>
      <c r="BZ53" s="141"/>
      <c r="CA53" s="141"/>
      <c r="CB53" s="141"/>
      <c r="DT53" s="63"/>
      <c r="DU53" s="63"/>
      <c r="DV53" s="63"/>
      <c r="DW53" s="63"/>
      <c r="DX53" s="63"/>
    </row>
    <row r="54" spans="1:128" s="62" customFormat="1">
      <c r="A54" s="162"/>
      <c r="B54" s="124" t="s">
        <v>289</v>
      </c>
      <c r="C54" s="119"/>
      <c r="D54" s="119"/>
      <c r="E54" s="119"/>
      <c r="F54" s="119"/>
      <c r="G54" s="119"/>
      <c r="H54" s="119"/>
      <c r="I54" s="132"/>
      <c r="J54" s="132"/>
      <c r="K54" s="132"/>
      <c r="L54" s="132"/>
      <c r="M54" s="125"/>
      <c r="N54" s="130"/>
      <c r="O54" s="130"/>
      <c r="P54" s="124"/>
      <c r="Q54" s="124">
        <f>ROUNDUP(((3.7*7)+3.6+1.5)*3.7,0)</f>
        <v>115</v>
      </c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>
        <f>ROUNDUP(6*3.7,0)</f>
        <v>23</v>
      </c>
      <c r="AD54" s="125">
        <f>ROUNDUP(3.7*8,0)</f>
        <v>30</v>
      </c>
      <c r="AE54" s="126"/>
      <c r="AF54" s="126"/>
      <c r="AG54" s="126"/>
      <c r="AH54" s="126"/>
      <c r="AI54" s="126"/>
      <c r="AJ54" s="124"/>
      <c r="AK54" s="119"/>
      <c r="AL54" s="125"/>
      <c r="AM54" s="137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9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1"/>
      <c r="BX54" s="141"/>
      <c r="BY54" s="141"/>
      <c r="BZ54" s="141"/>
      <c r="CA54" s="141"/>
      <c r="CB54" s="141"/>
      <c r="DT54" s="63"/>
      <c r="DU54" s="63"/>
      <c r="DV54" s="63"/>
      <c r="DW54" s="63"/>
      <c r="DX54" s="63"/>
    </row>
    <row r="55" spans="1:128" s="62" customFormat="1">
      <c r="A55" s="162"/>
      <c r="B55" s="124"/>
      <c r="C55" s="119"/>
      <c r="D55" s="119"/>
      <c r="E55" s="119"/>
      <c r="F55" s="119"/>
      <c r="G55" s="119"/>
      <c r="H55" s="119"/>
      <c r="I55" s="132"/>
      <c r="J55" s="132"/>
      <c r="K55" s="132"/>
      <c r="L55" s="132"/>
      <c r="M55" s="125"/>
      <c r="N55" s="130"/>
      <c r="O55" s="130"/>
      <c r="P55" s="124"/>
      <c r="Q55" s="124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25"/>
      <c r="AE55" s="126"/>
      <c r="AF55" s="126"/>
      <c r="AG55" s="126"/>
      <c r="AH55" s="126"/>
      <c r="AI55" s="126"/>
      <c r="AJ55" s="124"/>
      <c r="AK55" s="119"/>
      <c r="AL55" s="125"/>
      <c r="AM55" s="137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9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1"/>
      <c r="BX55" s="141"/>
      <c r="BY55" s="141"/>
      <c r="BZ55" s="141"/>
      <c r="CA55" s="141"/>
      <c r="CB55" s="141"/>
      <c r="DT55" s="63"/>
      <c r="DU55" s="63"/>
      <c r="DV55" s="63"/>
      <c r="DW55" s="63"/>
      <c r="DX55" s="63"/>
    </row>
    <row r="56" spans="1:128" s="62" customFormat="1">
      <c r="A56" s="129"/>
      <c r="B56" s="124"/>
      <c r="C56" s="119"/>
      <c r="D56" s="119"/>
      <c r="E56" s="119"/>
      <c r="F56" s="119"/>
      <c r="G56" s="119"/>
      <c r="H56" s="119"/>
      <c r="I56" s="132"/>
      <c r="J56" s="132"/>
      <c r="K56" s="132"/>
      <c r="L56" s="132"/>
      <c r="M56" s="122"/>
      <c r="N56" s="123"/>
      <c r="O56" s="123"/>
      <c r="P56" s="124"/>
      <c r="Q56" s="124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25"/>
      <c r="AE56" s="124"/>
      <c r="AF56" s="124"/>
      <c r="AG56" s="124"/>
      <c r="AH56" s="124"/>
      <c r="AI56" s="124"/>
      <c r="AJ56" s="124"/>
      <c r="AK56" s="119"/>
      <c r="AL56" s="125"/>
      <c r="AM56" s="137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9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1"/>
      <c r="BX56" s="141"/>
      <c r="BY56" s="141"/>
      <c r="BZ56" s="141"/>
      <c r="CA56" s="141"/>
      <c r="CB56" s="141"/>
      <c r="DT56" s="63"/>
      <c r="DU56" s="63"/>
      <c r="DV56" s="63"/>
      <c r="DW56" s="63"/>
      <c r="DX56" s="63"/>
    </row>
    <row r="57" spans="1:128" s="62" customFormat="1">
      <c r="A57" s="129"/>
      <c r="B57" s="124"/>
      <c r="C57" s="119"/>
      <c r="D57" s="119"/>
      <c r="E57" s="119"/>
      <c r="F57" s="119"/>
      <c r="G57" s="119"/>
      <c r="H57" s="119"/>
      <c r="I57" s="132"/>
      <c r="J57" s="132"/>
      <c r="K57" s="132"/>
      <c r="L57" s="132"/>
      <c r="M57" s="122"/>
      <c r="N57" s="123"/>
      <c r="O57" s="123"/>
      <c r="P57" s="124"/>
      <c r="Q57" s="124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25"/>
      <c r="AE57" s="124"/>
      <c r="AF57" s="124"/>
      <c r="AG57" s="124"/>
      <c r="AH57" s="124"/>
      <c r="AI57" s="124"/>
      <c r="AJ57" s="124"/>
      <c r="AK57" s="119"/>
      <c r="AL57" s="125"/>
      <c r="AM57" s="137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9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1"/>
      <c r="BX57" s="141"/>
      <c r="BY57" s="141"/>
      <c r="BZ57" s="141"/>
      <c r="CA57" s="141"/>
      <c r="CB57" s="141"/>
      <c r="DT57" s="63"/>
      <c r="DU57" s="63"/>
      <c r="DV57" s="63"/>
      <c r="DW57" s="63"/>
      <c r="DX57" s="63"/>
    </row>
    <row r="58" spans="1:128" s="62" customFormat="1" ht="24">
      <c r="A58" s="129"/>
      <c r="B58" s="142" t="s">
        <v>28</v>
      </c>
      <c r="C58" s="143">
        <f>ROUNDUP(SUM(C39:C57),0)</f>
        <v>481</v>
      </c>
      <c r="D58" s="143">
        <f t="shared" ref="D58:AH58" si="9">ROUNDUP(SUM(D39:D57),0)</f>
        <v>52</v>
      </c>
      <c r="E58" s="143">
        <f t="shared" si="9"/>
        <v>328</v>
      </c>
      <c r="F58" s="143">
        <f t="shared" si="9"/>
        <v>64</v>
      </c>
      <c r="G58" s="143">
        <f t="shared" si="9"/>
        <v>22</v>
      </c>
      <c r="H58" s="143">
        <f t="shared" si="9"/>
        <v>12</v>
      </c>
      <c r="I58" s="143">
        <f t="shared" si="9"/>
        <v>0</v>
      </c>
      <c r="J58" s="143">
        <f t="shared" si="9"/>
        <v>0</v>
      </c>
      <c r="K58" s="143">
        <f t="shared" si="9"/>
        <v>0</v>
      </c>
      <c r="L58" s="143">
        <f t="shared" si="9"/>
        <v>0</v>
      </c>
      <c r="M58" s="143">
        <f t="shared" si="9"/>
        <v>392</v>
      </c>
      <c r="N58" s="143">
        <f t="shared" si="9"/>
        <v>0</v>
      </c>
      <c r="O58" s="143">
        <f t="shared" si="9"/>
        <v>0</v>
      </c>
      <c r="P58" s="143">
        <f t="shared" si="9"/>
        <v>738</v>
      </c>
      <c r="Q58" s="143">
        <f t="shared" si="9"/>
        <v>115</v>
      </c>
      <c r="R58" s="143">
        <f t="shared" si="9"/>
        <v>0</v>
      </c>
      <c r="S58" s="143">
        <f t="shared" si="9"/>
        <v>0</v>
      </c>
      <c r="T58" s="143">
        <f t="shared" si="9"/>
        <v>619</v>
      </c>
      <c r="U58" s="143">
        <f t="shared" si="9"/>
        <v>1829</v>
      </c>
      <c r="V58" s="143">
        <f t="shared" si="9"/>
        <v>0</v>
      </c>
      <c r="W58" s="143">
        <f t="shared" si="9"/>
        <v>177</v>
      </c>
      <c r="X58" s="143">
        <f t="shared" si="9"/>
        <v>200</v>
      </c>
      <c r="Y58" s="143">
        <f t="shared" si="9"/>
        <v>0</v>
      </c>
      <c r="Z58" s="143">
        <f t="shared" si="9"/>
        <v>0</v>
      </c>
      <c r="AA58" s="143">
        <f t="shared" si="9"/>
        <v>0</v>
      </c>
      <c r="AB58" s="143">
        <f t="shared" si="9"/>
        <v>252</v>
      </c>
      <c r="AC58" s="143">
        <f t="shared" si="9"/>
        <v>23</v>
      </c>
      <c r="AD58" s="143">
        <f t="shared" si="9"/>
        <v>267</v>
      </c>
      <c r="AE58" s="143">
        <f t="shared" si="9"/>
        <v>554</v>
      </c>
      <c r="AF58" s="143">
        <f t="shared" si="9"/>
        <v>64</v>
      </c>
      <c r="AG58" s="143">
        <f t="shared" si="9"/>
        <v>0</v>
      </c>
      <c r="AH58" s="143">
        <f t="shared" si="9"/>
        <v>329</v>
      </c>
      <c r="AI58" s="143">
        <f t="shared" ref="AI58:BL58" si="10">ROUNDUP(SUM(AI39:AI57),0)</f>
        <v>0</v>
      </c>
      <c r="AJ58" s="143">
        <f t="shared" si="10"/>
        <v>619</v>
      </c>
      <c r="AK58" s="143">
        <f t="shared" si="10"/>
        <v>1829</v>
      </c>
      <c r="AL58" s="143">
        <f t="shared" si="10"/>
        <v>947</v>
      </c>
      <c r="AM58" s="143">
        <f t="shared" si="10"/>
        <v>0</v>
      </c>
      <c r="AN58" s="143">
        <f t="shared" si="10"/>
        <v>1</v>
      </c>
      <c r="AO58" s="143">
        <f t="shared" si="10"/>
        <v>0</v>
      </c>
      <c r="AP58" s="143">
        <f t="shared" si="10"/>
        <v>0</v>
      </c>
      <c r="AQ58" s="143">
        <f t="shared" si="10"/>
        <v>4</v>
      </c>
      <c r="AR58" s="143">
        <f t="shared" si="10"/>
        <v>2</v>
      </c>
      <c r="AS58" s="143">
        <f t="shared" si="10"/>
        <v>0</v>
      </c>
      <c r="AT58" s="143">
        <f t="shared" si="10"/>
        <v>0</v>
      </c>
      <c r="AU58" s="143">
        <f t="shared" si="10"/>
        <v>0</v>
      </c>
      <c r="AV58" s="143">
        <f t="shared" si="10"/>
        <v>6</v>
      </c>
      <c r="AW58" s="143">
        <f t="shared" si="10"/>
        <v>2</v>
      </c>
      <c r="AX58" s="143">
        <f t="shared" si="10"/>
        <v>0</v>
      </c>
      <c r="AY58" s="143">
        <f t="shared" si="10"/>
        <v>0</v>
      </c>
      <c r="AZ58" s="143">
        <f t="shared" si="10"/>
        <v>0</v>
      </c>
      <c r="BA58" s="143">
        <f t="shared" si="10"/>
        <v>0</v>
      </c>
      <c r="BB58" s="143">
        <f t="shared" si="10"/>
        <v>0</v>
      </c>
      <c r="BC58" s="143">
        <f>ROUNDUP(SUM(BC39:BC57),0)</f>
        <v>0</v>
      </c>
      <c r="BD58" s="143">
        <f t="shared" si="10"/>
        <v>0</v>
      </c>
      <c r="BE58" s="143">
        <f t="shared" si="10"/>
        <v>0</v>
      </c>
      <c r="BF58" s="143">
        <f t="shared" si="10"/>
        <v>7</v>
      </c>
      <c r="BG58" s="143">
        <f t="shared" si="10"/>
        <v>5</v>
      </c>
      <c r="BH58" s="143">
        <f t="shared" si="10"/>
        <v>1</v>
      </c>
      <c r="BI58" s="143">
        <f t="shared" si="10"/>
        <v>1</v>
      </c>
      <c r="BJ58" s="143">
        <f t="shared" si="10"/>
        <v>0</v>
      </c>
      <c r="BK58" s="143">
        <f t="shared" si="10"/>
        <v>0</v>
      </c>
      <c r="BL58" s="143">
        <f t="shared" si="10"/>
        <v>2</v>
      </c>
      <c r="BM58" s="143">
        <f t="shared" ref="BM58:CB58" si="11">ROUNDUP(SUM(BM39:BM57),0)</f>
        <v>2</v>
      </c>
      <c r="BN58" s="143">
        <f t="shared" si="11"/>
        <v>0</v>
      </c>
      <c r="BO58" s="143">
        <f t="shared" si="11"/>
        <v>0</v>
      </c>
      <c r="BP58" s="143">
        <f t="shared" si="11"/>
        <v>0</v>
      </c>
      <c r="BQ58" s="143">
        <f t="shared" si="11"/>
        <v>0</v>
      </c>
      <c r="BR58" s="143">
        <f t="shared" si="11"/>
        <v>0</v>
      </c>
      <c r="BS58" s="143">
        <f t="shared" si="11"/>
        <v>0</v>
      </c>
      <c r="BT58" s="143">
        <f t="shared" si="11"/>
        <v>0</v>
      </c>
      <c r="BU58" s="143">
        <f t="shared" si="11"/>
        <v>0</v>
      </c>
      <c r="BV58" s="143">
        <f t="shared" si="11"/>
        <v>0</v>
      </c>
      <c r="BW58" s="143">
        <f t="shared" si="11"/>
        <v>0</v>
      </c>
      <c r="BX58" s="143">
        <f t="shared" si="11"/>
        <v>0</v>
      </c>
      <c r="BY58" s="143">
        <f t="shared" si="11"/>
        <v>0</v>
      </c>
      <c r="BZ58" s="143">
        <f t="shared" si="11"/>
        <v>0</v>
      </c>
      <c r="CA58" s="143">
        <f t="shared" si="11"/>
        <v>0</v>
      </c>
      <c r="CB58" s="143">
        <f t="shared" si="11"/>
        <v>0</v>
      </c>
      <c r="DT58" s="63"/>
      <c r="DU58" s="63"/>
      <c r="DV58" s="63"/>
      <c r="DW58" s="63"/>
      <c r="DX58" s="63"/>
    </row>
    <row r="59" spans="1:128" s="62" customFormat="1" ht="24">
      <c r="A59" s="164"/>
      <c r="B59" s="165"/>
      <c r="C59" s="166"/>
      <c r="D59" s="166"/>
      <c r="E59" s="167"/>
      <c r="F59" s="167"/>
      <c r="G59" s="167"/>
      <c r="H59" s="167"/>
      <c r="I59" s="168"/>
      <c r="J59" s="168"/>
      <c r="K59" s="168"/>
      <c r="L59" s="168"/>
      <c r="M59" s="169"/>
      <c r="N59" s="170"/>
      <c r="O59" s="170"/>
      <c r="P59" s="163"/>
      <c r="Q59" s="163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71"/>
      <c r="AE59" s="163"/>
      <c r="AF59" s="163"/>
      <c r="AG59" s="163"/>
      <c r="AH59" s="163"/>
      <c r="AI59" s="163"/>
      <c r="AJ59" s="163"/>
      <c r="AK59" s="166"/>
      <c r="AL59" s="171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5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7"/>
      <c r="BX59" s="177"/>
      <c r="BY59" s="177"/>
      <c r="BZ59" s="177"/>
      <c r="CA59" s="177"/>
      <c r="CB59" s="177"/>
      <c r="DT59" s="63"/>
      <c r="DU59" s="63"/>
      <c r="DV59" s="63"/>
      <c r="DW59" s="63"/>
      <c r="DX59" s="63"/>
    </row>
    <row r="60" spans="1:128" s="62" customFormat="1">
      <c r="A60" s="129"/>
      <c r="B60" s="155" t="s">
        <v>248</v>
      </c>
      <c r="C60" s="103"/>
      <c r="D60" s="103"/>
      <c r="E60" s="103"/>
      <c r="F60" s="103"/>
      <c r="G60" s="103"/>
      <c r="H60" s="103"/>
      <c r="I60" s="156"/>
      <c r="J60" s="156"/>
      <c r="K60" s="156"/>
      <c r="L60" s="156"/>
      <c r="M60" s="106"/>
      <c r="N60" s="107"/>
      <c r="O60" s="107"/>
      <c r="P60" s="108"/>
      <c r="Q60" s="108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9"/>
      <c r="AE60" s="110"/>
      <c r="AF60" s="110"/>
      <c r="AG60" s="110"/>
      <c r="AH60" s="110"/>
      <c r="AI60" s="110"/>
      <c r="AJ60" s="108"/>
      <c r="AK60" s="103"/>
      <c r="AL60" s="109"/>
      <c r="AM60" s="157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9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1"/>
      <c r="BX60" s="161"/>
      <c r="BY60" s="161"/>
      <c r="BZ60" s="161"/>
      <c r="CA60" s="161"/>
      <c r="CB60" s="161"/>
      <c r="DT60" s="63"/>
      <c r="DU60" s="63"/>
      <c r="DV60" s="63"/>
      <c r="DW60" s="63"/>
      <c r="DX60" s="63"/>
    </row>
    <row r="61" spans="1:128" s="62" customFormat="1">
      <c r="A61" s="129"/>
      <c r="B61" s="118"/>
      <c r="C61" s="119"/>
      <c r="D61" s="119"/>
      <c r="E61" s="119"/>
      <c r="F61" s="119"/>
      <c r="G61" s="119"/>
      <c r="H61" s="119"/>
      <c r="I61" s="132"/>
      <c r="J61" s="132"/>
      <c r="K61" s="132"/>
      <c r="L61" s="132"/>
      <c r="M61" s="122"/>
      <c r="N61" s="123"/>
      <c r="O61" s="123"/>
      <c r="P61" s="124"/>
      <c r="Q61" s="124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25"/>
      <c r="AE61" s="126"/>
      <c r="AF61" s="126"/>
      <c r="AG61" s="126"/>
      <c r="AH61" s="126"/>
      <c r="AI61" s="126"/>
      <c r="AJ61" s="124"/>
      <c r="AK61" s="119"/>
      <c r="AL61" s="128"/>
      <c r="AM61" s="137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9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1"/>
      <c r="BX61" s="141"/>
      <c r="BY61" s="141"/>
      <c r="BZ61" s="141"/>
      <c r="CA61" s="141"/>
      <c r="CB61" s="141"/>
      <c r="DT61" s="63"/>
      <c r="DU61" s="63"/>
      <c r="DV61" s="63"/>
      <c r="DW61" s="63"/>
      <c r="DX61" s="63"/>
    </row>
    <row r="62" spans="1:128" s="62" customFormat="1">
      <c r="A62" s="101">
        <v>1</v>
      </c>
      <c r="B62" s="118" t="s">
        <v>267</v>
      </c>
      <c r="C62" s="119"/>
      <c r="D62" s="119"/>
      <c r="E62" s="119">
        <f>ROUNDUP(326*1.2,0)</f>
        <v>392</v>
      </c>
      <c r="F62" s="119"/>
      <c r="G62" s="119"/>
      <c r="H62" s="119"/>
      <c r="I62" s="132"/>
      <c r="J62" s="132"/>
      <c r="K62" s="132"/>
      <c r="L62" s="132"/>
      <c r="M62" s="125">
        <f t="shared" ref="M62:M72" si="12">SUM(E62,F62)</f>
        <v>392</v>
      </c>
      <c r="N62" s="130"/>
      <c r="O62" s="124"/>
      <c r="P62" s="124"/>
      <c r="Q62" s="124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25"/>
      <c r="AE62" s="126">
        <f>E62</f>
        <v>392</v>
      </c>
      <c r="AF62" s="126"/>
      <c r="AG62" s="126"/>
      <c r="AH62" s="126"/>
      <c r="AI62" s="126"/>
      <c r="AJ62" s="124"/>
      <c r="AK62" s="119"/>
      <c r="AL62" s="128">
        <f>SUM(AE62:AH62)</f>
        <v>392</v>
      </c>
      <c r="AM62" s="137"/>
      <c r="AN62" s="138"/>
      <c r="AO62" s="138"/>
      <c r="AP62" s="138"/>
      <c r="AQ62" s="138"/>
      <c r="AR62" s="138"/>
      <c r="AS62" s="138"/>
      <c r="AT62" s="138"/>
      <c r="AU62" s="138"/>
      <c r="AV62" s="138">
        <v>3</v>
      </c>
      <c r="AW62" s="138"/>
      <c r="AX62" s="138"/>
      <c r="AY62" s="138"/>
      <c r="AZ62" s="138"/>
      <c r="BA62" s="138"/>
      <c r="BB62" s="138"/>
      <c r="BC62" s="138"/>
      <c r="BD62" s="138"/>
      <c r="BE62" s="138">
        <v>2</v>
      </c>
      <c r="BF62" s="138">
        <v>2</v>
      </c>
      <c r="BG62" s="138">
        <v>2</v>
      </c>
      <c r="BH62" s="138"/>
      <c r="BI62" s="138"/>
      <c r="BJ62" s="138"/>
      <c r="BK62" s="139"/>
      <c r="BL62" s="140"/>
      <c r="BM62" s="140">
        <v>2</v>
      </c>
      <c r="BN62" s="140"/>
      <c r="BO62" s="140"/>
      <c r="BP62" s="140"/>
      <c r="BQ62" s="140"/>
      <c r="BR62" s="140"/>
      <c r="BS62" s="140"/>
      <c r="BT62" s="140"/>
      <c r="BU62" s="140"/>
      <c r="BV62" s="140"/>
      <c r="BW62" s="141"/>
      <c r="BX62" s="141"/>
      <c r="BY62" s="141"/>
      <c r="BZ62" s="141"/>
      <c r="CA62" s="141"/>
      <c r="CB62" s="141"/>
      <c r="DT62" s="63"/>
      <c r="DU62" s="63"/>
      <c r="DV62" s="63"/>
      <c r="DW62" s="63"/>
      <c r="DX62" s="63"/>
    </row>
    <row r="63" spans="1:128" s="62" customFormat="1">
      <c r="A63" s="101">
        <v>2</v>
      </c>
      <c r="B63" s="124" t="s">
        <v>268</v>
      </c>
      <c r="C63" s="119"/>
      <c r="D63" s="119"/>
      <c r="E63" s="119"/>
      <c r="F63" s="119"/>
      <c r="G63" s="119">
        <f>23.8*10</f>
        <v>238</v>
      </c>
      <c r="H63" s="119"/>
      <c r="I63" s="132"/>
      <c r="J63" s="132"/>
      <c r="K63" s="132"/>
      <c r="L63" s="132"/>
      <c r="M63" s="125">
        <f t="shared" si="12"/>
        <v>0</v>
      </c>
      <c r="N63" s="130"/>
      <c r="O63" s="130"/>
      <c r="P63" s="130"/>
      <c r="Q63" s="124"/>
      <c r="R63" s="119"/>
      <c r="S63" s="119"/>
      <c r="T63" s="119"/>
      <c r="U63" s="119"/>
      <c r="V63" s="119"/>
      <c r="W63" s="119"/>
      <c r="X63" s="119">
        <f>ROUNDUP(65*3.7,0)</f>
        <v>241</v>
      </c>
      <c r="Y63" s="119"/>
      <c r="Z63" s="119"/>
      <c r="AA63" s="119"/>
      <c r="AB63" s="119"/>
      <c r="AC63" s="119"/>
      <c r="AD63" s="125"/>
      <c r="AE63" s="126"/>
      <c r="AF63" s="126"/>
      <c r="AG63" s="126">
        <v>200</v>
      </c>
      <c r="AH63" s="126"/>
      <c r="AI63" s="126"/>
      <c r="AJ63" s="124"/>
      <c r="AK63" s="119"/>
      <c r="AL63" s="128"/>
      <c r="AM63" s="137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>
        <v>2</v>
      </c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9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1"/>
      <c r="BX63" s="141"/>
      <c r="BY63" s="141"/>
      <c r="BZ63" s="141"/>
      <c r="CA63" s="141"/>
      <c r="CB63" s="141"/>
      <c r="DT63" s="63"/>
      <c r="DU63" s="63"/>
      <c r="DV63" s="63"/>
      <c r="DW63" s="63"/>
      <c r="DX63" s="63"/>
    </row>
    <row r="64" spans="1:128" s="62" customFormat="1">
      <c r="A64" s="101">
        <v>3</v>
      </c>
      <c r="B64" s="118" t="s">
        <v>269</v>
      </c>
      <c r="C64" s="119">
        <v>185</v>
      </c>
      <c r="D64" s="119"/>
      <c r="E64" s="119"/>
      <c r="F64" s="119"/>
      <c r="G64" s="119"/>
      <c r="H64" s="119"/>
      <c r="I64" s="132"/>
      <c r="J64" s="132"/>
      <c r="K64" s="132"/>
      <c r="L64" s="132"/>
      <c r="M64" s="125">
        <f t="shared" si="12"/>
        <v>0</v>
      </c>
      <c r="N64" s="130"/>
      <c r="O64" s="130"/>
      <c r="P64" s="124"/>
      <c r="Q64" s="124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25"/>
      <c r="AE64" s="126">
        <f>C64</f>
        <v>185</v>
      </c>
      <c r="AF64" s="126"/>
      <c r="AG64" s="126"/>
      <c r="AH64" s="126"/>
      <c r="AI64" s="126"/>
      <c r="AJ64" s="124"/>
      <c r="AK64" s="119"/>
      <c r="AL64" s="128">
        <f>SUM(AE64:AH64)</f>
        <v>185</v>
      </c>
      <c r="AM64" s="137"/>
      <c r="AN64" s="138"/>
      <c r="AO64" s="138"/>
      <c r="AP64" s="138"/>
      <c r="AQ64" s="138"/>
      <c r="AR64" s="138"/>
      <c r="AS64" s="138"/>
      <c r="AT64" s="138"/>
      <c r="AU64" s="138"/>
      <c r="AV64" s="138">
        <v>4</v>
      </c>
      <c r="AW64" s="138"/>
      <c r="AX64" s="138">
        <v>1</v>
      </c>
      <c r="AY64" s="138"/>
      <c r="AZ64" s="138"/>
      <c r="BA64" s="138"/>
      <c r="BB64" s="138"/>
      <c r="BC64" s="138"/>
      <c r="BD64" s="138"/>
      <c r="BE64" s="138"/>
      <c r="BF64" s="138">
        <v>2</v>
      </c>
      <c r="BG64" s="138"/>
      <c r="BH64" s="138"/>
      <c r="BI64" s="138"/>
      <c r="BJ64" s="138"/>
      <c r="BK64" s="139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1"/>
      <c r="BX64" s="141"/>
      <c r="BY64" s="141"/>
      <c r="BZ64" s="141"/>
      <c r="CA64" s="141"/>
      <c r="CB64" s="141"/>
      <c r="DT64" s="63"/>
      <c r="DU64" s="63"/>
      <c r="DV64" s="63"/>
      <c r="DW64" s="63"/>
      <c r="DX64" s="63"/>
    </row>
    <row r="65" spans="1:128" s="62" customFormat="1">
      <c r="A65" s="101">
        <v>4</v>
      </c>
      <c r="B65" s="124" t="s">
        <v>256</v>
      </c>
      <c r="C65" s="119">
        <v>265</v>
      </c>
      <c r="D65" s="119"/>
      <c r="E65" s="119"/>
      <c r="F65" s="119"/>
      <c r="G65" s="119"/>
      <c r="H65" s="119"/>
      <c r="I65" s="132"/>
      <c r="J65" s="132"/>
      <c r="K65" s="132"/>
      <c r="L65" s="132"/>
      <c r="M65" s="125">
        <f t="shared" si="12"/>
        <v>0</v>
      </c>
      <c r="N65" s="130"/>
      <c r="O65" s="124"/>
      <c r="P65" s="124"/>
      <c r="Q65" s="124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25"/>
      <c r="AE65" s="126"/>
      <c r="AF65" s="126"/>
      <c r="AG65" s="126"/>
      <c r="AH65" s="126">
        <f>C65</f>
        <v>265</v>
      </c>
      <c r="AI65" s="126"/>
      <c r="AJ65" s="124"/>
      <c r="AK65" s="119"/>
      <c r="AL65" s="128">
        <f>SUM(AE65:AH65)</f>
        <v>265</v>
      </c>
      <c r="AM65" s="137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>
        <v>1</v>
      </c>
      <c r="BJ65" s="138"/>
      <c r="BK65" s="139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1"/>
      <c r="BX65" s="141"/>
      <c r="BY65" s="141"/>
      <c r="BZ65" s="141"/>
      <c r="CA65" s="141"/>
      <c r="CB65" s="141"/>
      <c r="DT65" s="63"/>
      <c r="DU65" s="63"/>
      <c r="DV65" s="63"/>
      <c r="DW65" s="63"/>
      <c r="DX65" s="63"/>
    </row>
    <row r="66" spans="1:128" s="62" customFormat="1">
      <c r="A66" s="101">
        <v>5</v>
      </c>
      <c r="B66" s="124" t="s">
        <v>225</v>
      </c>
      <c r="C66" s="119"/>
      <c r="D66" s="119"/>
      <c r="E66" s="119"/>
      <c r="F66" s="119">
        <f>ROUNDUP(22.75*1.2,0)</f>
        <v>28</v>
      </c>
      <c r="G66" s="119"/>
      <c r="H66" s="119"/>
      <c r="I66" s="132"/>
      <c r="J66" s="132"/>
      <c r="K66" s="132"/>
      <c r="L66" s="132"/>
      <c r="M66" s="125">
        <f t="shared" si="12"/>
        <v>28</v>
      </c>
      <c r="N66" s="130"/>
      <c r="O66" s="130"/>
      <c r="P66" s="124"/>
      <c r="Q66" s="124"/>
      <c r="R66" s="119"/>
      <c r="S66" s="119"/>
      <c r="T66" s="119"/>
      <c r="U66" s="119"/>
      <c r="V66" s="119"/>
      <c r="W66" s="119">
        <f>ROUNDUP((15.2*3.5)*1.2,0)</f>
        <v>64</v>
      </c>
      <c r="X66" s="119"/>
      <c r="Y66" s="119"/>
      <c r="Z66" s="119"/>
      <c r="AA66" s="119"/>
      <c r="AB66" s="119"/>
      <c r="AC66" s="119"/>
      <c r="AD66" s="125"/>
      <c r="AE66" s="126"/>
      <c r="AF66" s="126">
        <f>F66</f>
        <v>28</v>
      </c>
      <c r="AG66" s="126"/>
      <c r="AH66" s="126"/>
      <c r="AI66" s="126"/>
      <c r="AJ66" s="124"/>
      <c r="AK66" s="119"/>
      <c r="AL66" s="128">
        <f>SUM(AE66:AH66)</f>
        <v>28</v>
      </c>
      <c r="AM66" s="137"/>
      <c r="AN66" s="138"/>
      <c r="AO66" s="138"/>
      <c r="AP66" s="138"/>
      <c r="AQ66" s="138"/>
      <c r="AR66" s="138">
        <v>1</v>
      </c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9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  <c r="BX66" s="141"/>
      <c r="BY66" s="141"/>
      <c r="BZ66" s="141"/>
      <c r="CA66" s="141"/>
      <c r="CB66" s="141"/>
      <c r="DT66" s="63"/>
      <c r="DU66" s="63"/>
      <c r="DV66" s="63"/>
      <c r="DW66" s="63"/>
      <c r="DX66" s="63"/>
    </row>
    <row r="67" spans="1:128" s="62" customFormat="1">
      <c r="A67" s="101">
        <v>6</v>
      </c>
      <c r="B67" s="124" t="s">
        <v>227</v>
      </c>
      <c r="C67" s="119"/>
      <c r="D67" s="119"/>
      <c r="E67" s="119"/>
      <c r="F67" s="119">
        <f>ROUNDUP(23.95*1.2,0)</f>
        <v>29</v>
      </c>
      <c r="G67" s="119"/>
      <c r="H67" s="119"/>
      <c r="I67" s="132"/>
      <c r="J67" s="132"/>
      <c r="K67" s="132"/>
      <c r="L67" s="132"/>
      <c r="M67" s="125">
        <f t="shared" si="12"/>
        <v>29</v>
      </c>
      <c r="N67" s="130"/>
      <c r="O67" s="130"/>
      <c r="P67" s="124"/>
      <c r="Q67" s="124"/>
      <c r="R67" s="119"/>
      <c r="S67" s="119"/>
      <c r="T67" s="119"/>
      <c r="U67" s="119"/>
      <c r="V67" s="119"/>
      <c r="W67" s="119">
        <f>ROUNDUP((15.2*3.5)*1.2,0)</f>
        <v>64</v>
      </c>
      <c r="X67" s="119"/>
      <c r="Y67" s="119"/>
      <c r="Z67" s="119"/>
      <c r="AA67" s="119"/>
      <c r="AB67" s="119"/>
      <c r="AC67" s="119"/>
      <c r="AD67" s="125"/>
      <c r="AE67" s="126"/>
      <c r="AF67" s="126">
        <f>F67</f>
        <v>29</v>
      </c>
      <c r="AG67" s="126"/>
      <c r="AH67" s="126"/>
      <c r="AI67" s="126"/>
      <c r="AJ67" s="124"/>
      <c r="AK67" s="119"/>
      <c r="AL67" s="128">
        <f>SUM(AE67:AH67)</f>
        <v>29</v>
      </c>
      <c r="AM67" s="137"/>
      <c r="AN67" s="138"/>
      <c r="AO67" s="138"/>
      <c r="AP67" s="138"/>
      <c r="AQ67" s="138"/>
      <c r="AR67" s="138">
        <v>1</v>
      </c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9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1"/>
      <c r="BX67" s="141"/>
      <c r="BY67" s="141"/>
      <c r="BZ67" s="141"/>
      <c r="CA67" s="141"/>
      <c r="CB67" s="141"/>
      <c r="DT67" s="63"/>
      <c r="DU67" s="63"/>
      <c r="DV67" s="63"/>
      <c r="DW67" s="63"/>
      <c r="DX67" s="63"/>
    </row>
    <row r="68" spans="1:128" s="62" customFormat="1">
      <c r="A68" s="101">
        <v>7</v>
      </c>
      <c r="B68" s="124" t="s">
        <v>231</v>
      </c>
      <c r="C68" s="119"/>
      <c r="D68" s="119"/>
      <c r="E68" s="119"/>
      <c r="F68" s="119"/>
      <c r="G68" s="119"/>
      <c r="H68" s="119"/>
      <c r="I68" s="132"/>
      <c r="J68" s="132"/>
      <c r="K68" s="132"/>
      <c r="L68" s="132"/>
      <c r="M68" s="125"/>
      <c r="N68" s="130"/>
      <c r="O68" s="130"/>
      <c r="P68" s="124"/>
      <c r="Q68" s="124"/>
      <c r="R68" s="119"/>
      <c r="S68" s="119"/>
      <c r="T68" s="119"/>
      <c r="U68" s="119"/>
      <c r="V68" s="119"/>
      <c r="W68" s="119">
        <f>ROUNDUP((10.8*3.5)*1.2,0)</f>
        <v>46</v>
      </c>
      <c r="X68" s="119"/>
      <c r="Y68" s="119"/>
      <c r="Z68" s="119"/>
      <c r="AA68" s="119"/>
      <c r="AB68" s="119"/>
      <c r="AC68" s="119"/>
      <c r="AD68" s="125"/>
      <c r="AE68" s="126"/>
      <c r="AF68" s="126"/>
      <c r="AG68" s="126"/>
      <c r="AH68" s="126"/>
      <c r="AI68" s="126"/>
      <c r="AJ68" s="124"/>
      <c r="AK68" s="119"/>
      <c r="AL68" s="128"/>
      <c r="AM68" s="137"/>
      <c r="AN68" s="138"/>
      <c r="AO68" s="138"/>
      <c r="AP68" s="138"/>
      <c r="AQ68" s="138"/>
      <c r="AR68" s="138">
        <v>1</v>
      </c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9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1"/>
      <c r="BX68" s="141"/>
      <c r="BY68" s="141"/>
      <c r="BZ68" s="141"/>
      <c r="CA68" s="141"/>
      <c r="CB68" s="141"/>
      <c r="DT68" s="63"/>
      <c r="DU68" s="63"/>
      <c r="DV68" s="63"/>
      <c r="DW68" s="63"/>
      <c r="DX68" s="63"/>
    </row>
    <row r="69" spans="1:128" s="62" customFormat="1">
      <c r="A69" s="101">
        <v>8</v>
      </c>
      <c r="B69" s="124" t="s">
        <v>233</v>
      </c>
      <c r="C69" s="119"/>
      <c r="D69" s="119"/>
      <c r="E69" s="119"/>
      <c r="F69" s="119"/>
      <c r="G69" s="119"/>
      <c r="H69" s="119"/>
      <c r="I69" s="132"/>
      <c r="J69" s="132"/>
      <c r="K69" s="132"/>
      <c r="L69" s="132"/>
      <c r="M69" s="125"/>
      <c r="N69" s="130"/>
      <c r="O69" s="130"/>
      <c r="P69" s="124"/>
      <c r="Q69" s="124"/>
      <c r="R69" s="119"/>
      <c r="S69" s="119"/>
      <c r="T69" s="119"/>
      <c r="U69" s="119"/>
      <c r="V69" s="119"/>
      <c r="W69" s="119">
        <f>ROUNDUP((11.2*3.5)*1.2,0)</f>
        <v>48</v>
      </c>
      <c r="X69" s="119"/>
      <c r="Y69" s="119"/>
      <c r="Z69" s="119"/>
      <c r="AA69" s="119"/>
      <c r="AB69" s="119"/>
      <c r="AC69" s="119"/>
      <c r="AD69" s="125"/>
      <c r="AE69" s="126"/>
      <c r="AF69" s="126"/>
      <c r="AG69" s="126"/>
      <c r="AH69" s="126"/>
      <c r="AI69" s="126"/>
      <c r="AJ69" s="124"/>
      <c r="AK69" s="119"/>
      <c r="AL69" s="128"/>
      <c r="AM69" s="137"/>
      <c r="AN69" s="138"/>
      <c r="AO69" s="138"/>
      <c r="AP69" s="138"/>
      <c r="AQ69" s="138"/>
      <c r="AR69" s="138">
        <v>1</v>
      </c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>
        <v>1</v>
      </c>
      <c r="BI69" s="138"/>
      <c r="BJ69" s="138"/>
      <c r="BK69" s="139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1"/>
      <c r="BX69" s="141"/>
      <c r="BY69" s="141"/>
      <c r="BZ69" s="141"/>
      <c r="CA69" s="141"/>
      <c r="CB69" s="141"/>
      <c r="DT69" s="63"/>
      <c r="DU69" s="63"/>
      <c r="DV69" s="63"/>
      <c r="DW69" s="63"/>
      <c r="DX69" s="63"/>
    </row>
    <row r="70" spans="1:128" s="62" customFormat="1">
      <c r="A70" s="101">
        <v>9</v>
      </c>
      <c r="B70" s="124" t="s">
        <v>259</v>
      </c>
      <c r="C70" s="119">
        <v>18</v>
      </c>
      <c r="D70" s="119"/>
      <c r="E70" s="119"/>
      <c r="F70" s="119"/>
      <c r="G70" s="119"/>
      <c r="H70" s="119"/>
      <c r="I70" s="132"/>
      <c r="J70" s="132"/>
      <c r="K70" s="132"/>
      <c r="L70" s="132"/>
      <c r="M70" s="125">
        <f t="shared" si="12"/>
        <v>0</v>
      </c>
      <c r="N70" s="130"/>
      <c r="O70" s="130"/>
      <c r="P70" s="124"/>
      <c r="Q70" s="124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25"/>
      <c r="AE70" s="126">
        <f>C70</f>
        <v>18</v>
      </c>
      <c r="AF70" s="126"/>
      <c r="AG70" s="126"/>
      <c r="AH70" s="126"/>
      <c r="AI70" s="126"/>
      <c r="AJ70" s="124"/>
      <c r="AK70" s="119"/>
      <c r="AL70" s="128">
        <f>SUM(AE70:AH70)</f>
        <v>18</v>
      </c>
      <c r="AM70" s="137"/>
      <c r="AN70" s="138">
        <v>1</v>
      </c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9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1"/>
      <c r="BX70" s="141"/>
      <c r="BY70" s="141"/>
      <c r="BZ70" s="141"/>
      <c r="CA70" s="141"/>
      <c r="CB70" s="141"/>
      <c r="DT70" s="63"/>
      <c r="DU70" s="63"/>
      <c r="DV70" s="63"/>
      <c r="DW70" s="63"/>
      <c r="DX70" s="63"/>
    </row>
    <row r="71" spans="1:128" s="62" customFormat="1">
      <c r="A71" s="101">
        <v>10</v>
      </c>
      <c r="B71" s="118" t="s">
        <v>266</v>
      </c>
      <c r="C71" s="119"/>
      <c r="D71" s="119"/>
      <c r="E71" s="119"/>
      <c r="F71" s="119"/>
      <c r="G71" s="119">
        <v>14</v>
      </c>
      <c r="H71" s="119"/>
      <c r="I71" s="132"/>
      <c r="J71" s="132"/>
      <c r="K71" s="132"/>
      <c r="L71" s="132"/>
      <c r="M71" s="125">
        <f t="shared" si="12"/>
        <v>0</v>
      </c>
      <c r="N71" s="130"/>
      <c r="O71" s="130"/>
      <c r="P71" s="124"/>
      <c r="Q71" s="124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25"/>
      <c r="AE71" s="126"/>
      <c r="AF71" s="126"/>
      <c r="AG71" s="126"/>
      <c r="AH71" s="126">
        <f>G71</f>
        <v>14</v>
      </c>
      <c r="AI71" s="126"/>
      <c r="AJ71" s="124"/>
      <c r="AK71" s="119"/>
      <c r="AL71" s="128">
        <f>SUM(AE71:AH71)</f>
        <v>14</v>
      </c>
      <c r="AM71" s="137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>
        <v>1</v>
      </c>
      <c r="AX71" s="138"/>
      <c r="AY71" s="138"/>
      <c r="AZ71" s="138"/>
      <c r="BA71" s="138"/>
      <c r="BB71" s="138"/>
      <c r="BC71" s="138"/>
      <c r="BD71" s="138"/>
      <c r="BE71" s="138"/>
      <c r="BF71" s="138"/>
      <c r="BG71" s="138">
        <v>1</v>
      </c>
      <c r="BH71" s="138"/>
      <c r="BI71" s="138"/>
      <c r="BJ71" s="138"/>
      <c r="BK71" s="139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1"/>
      <c r="BX71" s="141"/>
      <c r="BY71" s="141"/>
      <c r="BZ71" s="141"/>
      <c r="CA71" s="141"/>
      <c r="CB71" s="141"/>
      <c r="DT71" s="63"/>
      <c r="DU71" s="63"/>
      <c r="DV71" s="63"/>
      <c r="DW71" s="63"/>
      <c r="DX71" s="63"/>
    </row>
    <row r="72" spans="1:128" s="62" customFormat="1">
      <c r="A72" s="101">
        <v>11</v>
      </c>
      <c r="B72" s="118" t="s">
        <v>237</v>
      </c>
      <c r="C72" s="119"/>
      <c r="D72" s="119"/>
      <c r="E72" s="119"/>
      <c r="F72" s="119"/>
      <c r="G72" s="119">
        <v>8</v>
      </c>
      <c r="H72" s="119"/>
      <c r="I72" s="132"/>
      <c r="J72" s="119"/>
      <c r="K72" s="132"/>
      <c r="L72" s="132"/>
      <c r="M72" s="125">
        <f t="shared" si="12"/>
        <v>0</v>
      </c>
      <c r="N72" s="130"/>
      <c r="O72" s="130"/>
      <c r="P72" s="124"/>
      <c r="Q72" s="124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25"/>
      <c r="AE72" s="126"/>
      <c r="AF72" s="126"/>
      <c r="AG72" s="126"/>
      <c r="AH72" s="126">
        <f>G72</f>
        <v>8</v>
      </c>
      <c r="AI72" s="126"/>
      <c r="AJ72" s="124"/>
      <c r="AK72" s="119"/>
      <c r="AL72" s="128">
        <f>SUM(AE72:AH72)</f>
        <v>8</v>
      </c>
      <c r="AM72" s="137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>
        <v>1</v>
      </c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9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1"/>
      <c r="BX72" s="141"/>
      <c r="BY72" s="141"/>
      <c r="BZ72" s="141"/>
      <c r="CA72" s="141"/>
      <c r="CB72" s="141"/>
      <c r="DT72" s="63"/>
      <c r="DU72" s="63"/>
      <c r="DV72" s="63"/>
      <c r="DW72" s="63"/>
      <c r="DX72" s="63"/>
    </row>
    <row r="73" spans="1:128" s="62" customFormat="1">
      <c r="A73" s="101"/>
      <c r="B73" s="118"/>
      <c r="C73" s="119"/>
      <c r="D73" s="119"/>
      <c r="E73" s="119"/>
      <c r="F73" s="119"/>
      <c r="G73" s="119"/>
      <c r="H73" s="119"/>
      <c r="I73" s="132"/>
      <c r="J73" s="132"/>
      <c r="K73" s="132"/>
      <c r="L73" s="132"/>
      <c r="M73" s="125"/>
      <c r="N73" s="130"/>
      <c r="O73" s="130"/>
      <c r="P73" s="124"/>
      <c r="Q73" s="124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25"/>
      <c r="AE73" s="126"/>
      <c r="AF73" s="126"/>
      <c r="AG73" s="126"/>
      <c r="AH73" s="126"/>
      <c r="AI73" s="126"/>
      <c r="AJ73" s="124"/>
      <c r="AK73" s="119"/>
      <c r="AL73" s="128"/>
      <c r="AM73" s="137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9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1"/>
      <c r="BX73" s="141"/>
      <c r="BY73" s="141"/>
      <c r="BZ73" s="141"/>
      <c r="CA73" s="141"/>
      <c r="CB73" s="141"/>
      <c r="DT73" s="63"/>
      <c r="DU73" s="63"/>
      <c r="DV73" s="63"/>
      <c r="DW73" s="63"/>
      <c r="DX73" s="63"/>
    </row>
    <row r="74" spans="1:128" s="62" customFormat="1">
      <c r="A74" s="101"/>
      <c r="B74" s="118"/>
      <c r="C74" s="119"/>
      <c r="D74" s="119"/>
      <c r="E74" s="119"/>
      <c r="F74" s="119"/>
      <c r="G74" s="119"/>
      <c r="H74" s="119"/>
      <c r="I74" s="132"/>
      <c r="J74" s="132"/>
      <c r="K74" s="132"/>
      <c r="L74" s="132"/>
      <c r="M74" s="125"/>
      <c r="N74" s="130"/>
      <c r="O74" s="130"/>
      <c r="P74" s="124"/>
      <c r="Q74" s="124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25"/>
      <c r="AE74" s="126"/>
      <c r="AF74" s="126"/>
      <c r="AG74" s="126"/>
      <c r="AH74" s="126"/>
      <c r="AI74" s="126"/>
      <c r="AJ74" s="124"/>
      <c r="AK74" s="119"/>
      <c r="AL74" s="128"/>
      <c r="AM74" s="137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9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1"/>
      <c r="BX74" s="141"/>
      <c r="BY74" s="141"/>
      <c r="BZ74" s="141"/>
      <c r="CA74" s="141"/>
      <c r="CB74" s="141"/>
      <c r="DT74" s="63"/>
      <c r="DU74" s="63"/>
      <c r="DV74" s="63"/>
      <c r="DW74" s="63"/>
      <c r="DX74" s="63"/>
    </row>
    <row r="75" spans="1:128" s="62" customFormat="1">
      <c r="A75" s="101"/>
      <c r="B75" s="118"/>
      <c r="C75" s="119"/>
      <c r="D75" s="119"/>
      <c r="E75" s="119"/>
      <c r="F75" s="119"/>
      <c r="G75" s="119"/>
      <c r="H75" s="119"/>
      <c r="I75" s="132"/>
      <c r="J75" s="132"/>
      <c r="K75" s="132"/>
      <c r="L75" s="132"/>
      <c r="M75" s="125"/>
      <c r="N75" s="130"/>
      <c r="O75" s="130"/>
      <c r="P75" s="124"/>
      <c r="Q75" s="124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25"/>
      <c r="AE75" s="126"/>
      <c r="AF75" s="126"/>
      <c r="AG75" s="126"/>
      <c r="AH75" s="126"/>
      <c r="AI75" s="126"/>
      <c r="AJ75" s="124"/>
      <c r="AK75" s="119"/>
      <c r="AL75" s="128"/>
      <c r="AM75" s="137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9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1"/>
      <c r="BX75" s="141"/>
      <c r="BY75" s="141"/>
      <c r="BZ75" s="141"/>
      <c r="CA75" s="141"/>
      <c r="CB75" s="141"/>
      <c r="DT75" s="63"/>
      <c r="DU75" s="63"/>
      <c r="DV75" s="63"/>
      <c r="DW75" s="63"/>
      <c r="DX75" s="63"/>
    </row>
    <row r="76" spans="1:128" s="62" customFormat="1">
      <c r="A76" s="101"/>
      <c r="B76" s="124" t="s">
        <v>288</v>
      </c>
      <c r="C76" s="119"/>
      <c r="D76" s="119"/>
      <c r="E76" s="119"/>
      <c r="F76" s="119"/>
      <c r="G76" s="119"/>
      <c r="H76" s="119"/>
      <c r="I76" s="132"/>
      <c r="J76" s="132"/>
      <c r="K76" s="132"/>
      <c r="L76" s="132"/>
      <c r="M76" s="125"/>
      <c r="N76" s="130"/>
      <c r="O76" s="130"/>
      <c r="P76" s="124">
        <f>ROUNDUP(((3.7*24)+(4.58*4)+(1.58*4)+(3.2*8)+(5.2*6)+(2.7*2)+3+4+1.5+21.7+10.7+3.8+(1.8*2)+(2.9*2)+4.7+(3.63*2)+(1.68*3)+0.7+1.6+7.9)*3.7,0)</f>
        <v>951</v>
      </c>
      <c r="Q76" s="124"/>
      <c r="R76" s="119"/>
      <c r="S76" s="119"/>
      <c r="T76" s="119">
        <f>ROUNDUP(((18.15+128.2)*4)+((((1.75*2)+(3.7*3))*2)*1.2)+(30.35*3.7),0)</f>
        <v>733</v>
      </c>
      <c r="U76" s="119">
        <f>ROUNDUP((50+50+165+47.35+15.2+15.2+10.8+11.2+65.2+(3.6*2)+(7.42*2)+14+11+56)*3.7,0)</f>
        <v>1973</v>
      </c>
      <c r="V76" s="119"/>
      <c r="W76" s="119"/>
      <c r="X76" s="119"/>
      <c r="Y76" s="119"/>
      <c r="Z76" s="119"/>
      <c r="AA76" s="119"/>
      <c r="AB76" s="119">
        <f>ROUNDUP(90*3.7,0)</f>
        <v>333</v>
      </c>
      <c r="AC76" s="119"/>
      <c r="AD76" s="125">
        <f>ROUNDUP((3.7*21)+(5.2*13)+(3.2*12)+(4.58*6)+(1.58*4)+(1.68*4)+(1.8*2)+(2.9*2)+(2.7*2)+4+3+10.7+21.7+7.9+3.8+4.7,0)</f>
        <v>295</v>
      </c>
      <c r="AE76" s="126"/>
      <c r="AF76" s="126"/>
      <c r="AG76" s="126"/>
      <c r="AH76" s="126"/>
      <c r="AI76" s="126"/>
      <c r="AJ76" s="124">
        <f>T76</f>
        <v>733</v>
      </c>
      <c r="AK76" s="119">
        <f>U76</f>
        <v>1973</v>
      </c>
      <c r="AL76" s="128"/>
      <c r="AM76" s="137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9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1"/>
      <c r="BX76" s="141"/>
      <c r="BY76" s="141"/>
      <c r="BZ76" s="141"/>
      <c r="CA76" s="141"/>
      <c r="CB76" s="141"/>
      <c r="DT76" s="63"/>
      <c r="DU76" s="63"/>
      <c r="DV76" s="63"/>
      <c r="DW76" s="63"/>
      <c r="DX76" s="63"/>
    </row>
    <row r="77" spans="1:128" s="62" customFormat="1">
      <c r="A77" s="101"/>
      <c r="B77" s="124" t="s">
        <v>289</v>
      </c>
      <c r="C77" s="119"/>
      <c r="D77" s="119"/>
      <c r="E77" s="119"/>
      <c r="F77" s="119"/>
      <c r="G77" s="119"/>
      <c r="H77" s="119"/>
      <c r="I77" s="132"/>
      <c r="J77" s="132"/>
      <c r="K77" s="132"/>
      <c r="L77" s="132"/>
      <c r="M77" s="125"/>
      <c r="N77" s="130"/>
      <c r="O77" s="130"/>
      <c r="P77" s="124"/>
      <c r="Q77" s="124">
        <f>ROUNDUP(((3.7*8)+1.5)*3.7,0)</f>
        <v>116</v>
      </c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>
        <f>ROUNDUP(12*3.7,0)</f>
        <v>45</v>
      </c>
      <c r="AD77" s="125">
        <f>ROUNDUP(3.7*8,0)</f>
        <v>30</v>
      </c>
      <c r="AE77" s="126"/>
      <c r="AF77" s="126"/>
      <c r="AG77" s="126"/>
      <c r="AH77" s="126"/>
      <c r="AI77" s="126"/>
      <c r="AJ77" s="124"/>
      <c r="AK77" s="119"/>
      <c r="AL77" s="128"/>
      <c r="AM77" s="137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9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1"/>
      <c r="BX77" s="141"/>
      <c r="BY77" s="141"/>
      <c r="BZ77" s="141"/>
      <c r="CA77" s="141"/>
      <c r="CB77" s="141"/>
      <c r="DT77" s="63"/>
      <c r="DU77" s="63"/>
      <c r="DV77" s="63"/>
      <c r="DW77" s="63"/>
      <c r="DX77" s="63"/>
    </row>
    <row r="78" spans="1:128" s="62" customFormat="1">
      <c r="A78" s="101"/>
      <c r="B78" s="118"/>
      <c r="C78" s="119"/>
      <c r="D78" s="119"/>
      <c r="E78" s="119"/>
      <c r="F78" s="119"/>
      <c r="G78" s="119"/>
      <c r="H78" s="119"/>
      <c r="I78" s="132"/>
      <c r="J78" s="132"/>
      <c r="K78" s="132"/>
      <c r="L78" s="132"/>
      <c r="M78" s="125"/>
      <c r="N78" s="130"/>
      <c r="O78" s="130"/>
      <c r="P78" s="124"/>
      <c r="Q78" s="124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25"/>
      <c r="AE78" s="126"/>
      <c r="AF78" s="126"/>
      <c r="AG78" s="126"/>
      <c r="AH78" s="126"/>
      <c r="AI78" s="126"/>
      <c r="AJ78" s="124"/>
      <c r="AK78" s="119"/>
      <c r="AL78" s="128"/>
      <c r="AM78" s="137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9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1"/>
      <c r="BX78" s="141"/>
      <c r="BY78" s="141"/>
      <c r="BZ78" s="141"/>
      <c r="CA78" s="141"/>
      <c r="CB78" s="141"/>
      <c r="DT78" s="63"/>
      <c r="DU78" s="63"/>
      <c r="DV78" s="63"/>
      <c r="DW78" s="63"/>
      <c r="DX78" s="63"/>
    </row>
    <row r="79" spans="1:128" s="62" customFormat="1">
      <c r="A79" s="101"/>
      <c r="B79" s="118"/>
      <c r="C79" s="119"/>
      <c r="D79" s="119"/>
      <c r="E79" s="119"/>
      <c r="F79" s="119"/>
      <c r="G79" s="119"/>
      <c r="H79" s="119"/>
      <c r="I79" s="132"/>
      <c r="J79" s="132"/>
      <c r="K79" s="132"/>
      <c r="L79" s="132"/>
      <c r="M79" s="125"/>
      <c r="N79" s="130"/>
      <c r="O79" s="130"/>
      <c r="P79" s="124"/>
      <c r="Q79" s="124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25"/>
      <c r="AE79" s="126"/>
      <c r="AF79" s="126"/>
      <c r="AG79" s="126"/>
      <c r="AH79" s="126"/>
      <c r="AI79" s="126"/>
      <c r="AJ79" s="124"/>
      <c r="AK79" s="119"/>
      <c r="AL79" s="128"/>
      <c r="AM79" s="137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9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1"/>
      <c r="BX79" s="141"/>
      <c r="BY79" s="141"/>
      <c r="BZ79" s="141"/>
      <c r="CA79" s="141"/>
      <c r="CB79" s="141"/>
      <c r="DT79" s="63"/>
      <c r="DU79" s="63"/>
      <c r="DV79" s="63"/>
      <c r="DW79" s="63"/>
      <c r="DX79" s="63"/>
    </row>
    <row r="80" spans="1:128" s="62" customFormat="1" ht="24">
      <c r="A80" s="129"/>
      <c r="B80" s="142" t="s">
        <v>28</v>
      </c>
      <c r="C80" s="143">
        <f>ROUNDUP(SUM(C61:C79),0)</f>
        <v>468</v>
      </c>
      <c r="D80" s="143">
        <f t="shared" ref="D80:BO80" si="13">ROUNDUP(SUM(D61:D79),0)</f>
        <v>0</v>
      </c>
      <c r="E80" s="143">
        <f t="shared" si="13"/>
        <v>392</v>
      </c>
      <c r="F80" s="143">
        <f t="shared" si="13"/>
        <v>57</v>
      </c>
      <c r="G80" s="143">
        <f t="shared" si="13"/>
        <v>260</v>
      </c>
      <c r="H80" s="143">
        <f t="shared" si="13"/>
        <v>0</v>
      </c>
      <c r="I80" s="143">
        <f t="shared" si="13"/>
        <v>0</v>
      </c>
      <c r="J80" s="143">
        <f t="shared" si="13"/>
        <v>0</v>
      </c>
      <c r="K80" s="143">
        <f t="shared" si="13"/>
        <v>0</v>
      </c>
      <c r="L80" s="143">
        <f t="shared" si="13"/>
        <v>0</v>
      </c>
      <c r="M80" s="143">
        <f t="shared" si="13"/>
        <v>449</v>
      </c>
      <c r="N80" s="143">
        <f t="shared" si="13"/>
        <v>0</v>
      </c>
      <c r="O80" s="143">
        <f t="shared" si="13"/>
        <v>0</v>
      </c>
      <c r="P80" s="143">
        <f t="shared" si="13"/>
        <v>951</v>
      </c>
      <c r="Q80" s="143">
        <f t="shared" si="13"/>
        <v>116</v>
      </c>
      <c r="R80" s="143">
        <f t="shared" si="13"/>
        <v>0</v>
      </c>
      <c r="S80" s="143">
        <f t="shared" si="13"/>
        <v>0</v>
      </c>
      <c r="T80" s="143">
        <f t="shared" si="13"/>
        <v>733</v>
      </c>
      <c r="U80" s="143">
        <f t="shared" si="13"/>
        <v>1973</v>
      </c>
      <c r="V80" s="143">
        <f t="shared" si="13"/>
        <v>0</v>
      </c>
      <c r="W80" s="143">
        <f t="shared" si="13"/>
        <v>222</v>
      </c>
      <c r="X80" s="143">
        <f t="shared" si="13"/>
        <v>241</v>
      </c>
      <c r="Y80" s="143">
        <f t="shared" si="13"/>
        <v>0</v>
      </c>
      <c r="Z80" s="143">
        <f t="shared" si="13"/>
        <v>0</v>
      </c>
      <c r="AA80" s="143">
        <f t="shared" si="13"/>
        <v>0</v>
      </c>
      <c r="AB80" s="143">
        <f t="shared" si="13"/>
        <v>333</v>
      </c>
      <c r="AC80" s="143">
        <f t="shared" si="13"/>
        <v>45</v>
      </c>
      <c r="AD80" s="143">
        <f t="shared" si="13"/>
        <v>325</v>
      </c>
      <c r="AE80" s="143">
        <f t="shared" si="13"/>
        <v>595</v>
      </c>
      <c r="AF80" s="143">
        <f t="shared" si="13"/>
        <v>57</v>
      </c>
      <c r="AG80" s="143">
        <f t="shared" si="13"/>
        <v>200</v>
      </c>
      <c r="AH80" s="143">
        <f t="shared" si="13"/>
        <v>287</v>
      </c>
      <c r="AI80" s="143">
        <f t="shared" si="13"/>
        <v>0</v>
      </c>
      <c r="AJ80" s="143">
        <f t="shared" si="13"/>
        <v>733</v>
      </c>
      <c r="AK80" s="143">
        <f t="shared" si="13"/>
        <v>1973</v>
      </c>
      <c r="AL80" s="143">
        <f t="shared" si="13"/>
        <v>939</v>
      </c>
      <c r="AM80" s="143">
        <f t="shared" si="13"/>
        <v>0</v>
      </c>
      <c r="AN80" s="143">
        <f t="shared" si="13"/>
        <v>1</v>
      </c>
      <c r="AO80" s="143">
        <f t="shared" si="13"/>
        <v>0</v>
      </c>
      <c r="AP80" s="143">
        <f t="shared" si="13"/>
        <v>0</v>
      </c>
      <c r="AQ80" s="143">
        <f t="shared" si="13"/>
        <v>0</v>
      </c>
      <c r="AR80" s="143">
        <f t="shared" si="13"/>
        <v>4</v>
      </c>
      <c r="AS80" s="143">
        <f t="shared" si="13"/>
        <v>0</v>
      </c>
      <c r="AT80" s="143">
        <f t="shared" si="13"/>
        <v>0</v>
      </c>
      <c r="AU80" s="143">
        <f t="shared" si="13"/>
        <v>0</v>
      </c>
      <c r="AV80" s="143">
        <f t="shared" si="13"/>
        <v>7</v>
      </c>
      <c r="AW80" s="143">
        <f t="shared" si="13"/>
        <v>2</v>
      </c>
      <c r="AX80" s="143">
        <f t="shared" si="13"/>
        <v>1</v>
      </c>
      <c r="AY80" s="143">
        <f t="shared" si="13"/>
        <v>0</v>
      </c>
      <c r="AZ80" s="143">
        <f t="shared" si="13"/>
        <v>2</v>
      </c>
      <c r="BA80" s="143">
        <f t="shared" si="13"/>
        <v>0</v>
      </c>
      <c r="BB80" s="143">
        <f t="shared" si="13"/>
        <v>0</v>
      </c>
      <c r="BC80" s="143">
        <f t="shared" si="13"/>
        <v>0</v>
      </c>
      <c r="BD80" s="143">
        <f t="shared" si="13"/>
        <v>0</v>
      </c>
      <c r="BE80" s="143">
        <f t="shared" si="13"/>
        <v>2</v>
      </c>
      <c r="BF80" s="143">
        <f t="shared" si="13"/>
        <v>4</v>
      </c>
      <c r="BG80" s="143">
        <f t="shared" si="13"/>
        <v>3</v>
      </c>
      <c r="BH80" s="143">
        <f t="shared" si="13"/>
        <v>1</v>
      </c>
      <c r="BI80" s="143">
        <f t="shared" si="13"/>
        <v>1</v>
      </c>
      <c r="BJ80" s="143">
        <f t="shared" si="13"/>
        <v>0</v>
      </c>
      <c r="BK80" s="143">
        <f t="shared" si="13"/>
        <v>0</v>
      </c>
      <c r="BL80" s="143">
        <f t="shared" si="13"/>
        <v>0</v>
      </c>
      <c r="BM80" s="143">
        <f t="shared" si="13"/>
        <v>2</v>
      </c>
      <c r="BN80" s="143">
        <f t="shared" si="13"/>
        <v>0</v>
      </c>
      <c r="BO80" s="143">
        <f t="shared" si="13"/>
        <v>0</v>
      </c>
      <c r="BP80" s="143">
        <f t="shared" ref="BP80:CB80" si="14">ROUNDUP(SUM(BP61:BP79),0)</f>
        <v>0</v>
      </c>
      <c r="BQ80" s="143">
        <f t="shared" si="14"/>
        <v>0</v>
      </c>
      <c r="BR80" s="143">
        <f t="shared" si="14"/>
        <v>0</v>
      </c>
      <c r="BS80" s="143">
        <f t="shared" si="14"/>
        <v>0</v>
      </c>
      <c r="BT80" s="143">
        <f t="shared" si="14"/>
        <v>0</v>
      </c>
      <c r="BU80" s="143">
        <f t="shared" si="14"/>
        <v>0</v>
      </c>
      <c r="BV80" s="143">
        <f t="shared" si="14"/>
        <v>0</v>
      </c>
      <c r="BW80" s="143">
        <f t="shared" si="14"/>
        <v>0</v>
      </c>
      <c r="BX80" s="143">
        <f t="shared" si="14"/>
        <v>0</v>
      </c>
      <c r="BY80" s="143">
        <f t="shared" si="14"/>
        <v>0</v>
      </c>
      <c r="BZ80" s="143">
        <f t="shared" si="14"/>
        <v>0</v>
      </c>
      <c r="CA80" s="143">
        <f t="shared" si="14"/>
        <v>0</v>
      </c>
      <c r="CB80" s="143">
        <f t="shared" si="14"/>
        <v>0</v>
      </c>
      <c r="DT80" s="63"/>
      <c r="DU80" s="63"/>
      <c r="DV80" s="63"/>
      <c r="DW80" s="63"/>
      <c r="DX80" s="63"/>
    </row>
    <row r="81" spans="1:128" s="62" customFormat="1">
      <c r="A81" s="101"/>
      <c r="B81" s="118"/>
      <c r="C81" s="119"/>
      <c r="D81" s="119"/>
      <c r="E81" s="119"/>
      <c r="F81" s="119"/>
      <c r="G81" s="119"/>
      <c r="H81" s="119"/>
      <c r="I81" s="132"/>
      <c r="J81" s="132"/>
      <c r="K81" s="132"/>
      <c r="L81" s="132"/>
      <c r="M81" s="125"/>
      <c r="N81" s="130"/>
      <c r="O81" s="130"/>
      <c r="P81" s="124"/>
      <c r="Q81" s="124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25"/>
      <c r="AE81" s="126"/>
      <c r="AF81" s="126"/>
      <c r="AG81" s="126"/>
      <c r="AH81" s="126"/>
      <c r="AI81" s="126"/>
      <c r="AJ81" s="124"/>
      <c r="AK81" s="119"/>
      <c r="AL81" s="128"/>
      <c r="AM81" s="137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9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1"/>
      <c r="BX81" s="141"/>
      <c r="BY81" s="141"/>
      <c r="BZ81" s="141"/>
      <c r="CA81" s="141"/>
      <c r="CB81" s="141"/>
      <c r="DT81" s="63"/>
      <c r="DU81" s="63"/>
      <c r="DV81" s="63"/>
      <c r="DW81" s="63"/>
      <c r="DX81" s="63"/>
    </row>
    <row r="82" spans="1:128" s="62" customFormat="1">
      <c r="A82" s="129"/>
      <c r="B82" s="155" t="s">
        <v>298</v>
      </c>
      <c r="C82" s="103"/>
      <c r="D82" s="103"/>
      <c r="E82" s="103"/>
      <c r="F82" s="103"/>
      <c r="G82" s="103"/>
      <c r="H82" s="103"/>
      <c r="I82" s="156"/>
      <c r="J82" s="156"/>
      <c r="K82" s="156"/>
      <c r="L82" s="156"/>
      <c r="M82" s="106"/>
      <c r="N82" s="107"/>
      <c r="O82" s="107"/>
      <c r="P82" s="108"/>
      <c r="Q82" s="108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9"/>
      <c r="AE82" s="110"/>
      <c r="AF82" s="110"/>
      <c r="AG82" s="110"/>
      <c r="AH82" s="110"/>
      <c r="AI82" s="110"/>
      <c r="AJ82" s="108"/>
      <c r="AK82" s="103"/>
      <c r="AL82" s="109"/>
      <c r="AM82" s="157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9"/>
      <c r="BL82" s="160"/>
      <c r="BM82" s="160"/>
      <c r="BN82" s="160"/>
      <c r="BO82" s="160"/>
      <c r="BP82" s="160"/>
      <c r="BQ82" s="160"/>
      <c r="BR82" s="160"/>
      <c r="BS82" s="160"/>
      <c r="BT82" s="160"/>
      <c r="BU82" s="160"/>
      <c r="BV82" s="160"/>
      <c r="BW82" s="161"/>
      <c r="BX82" s="161"/>
      <c r="BY82" s="161"/>
      <c r="BZ82" s="161"/>
      <c r="CA82" s="161"/>
      <c r="CB82" s="161"/>
      <c r="DT82" s="63"/>
      <c r="DU82" s="63"/>
      <c r="DV82" s="63"/>
      <c r="DW82" s="63"/>
      <c r="DX82" s="63"/>
    </row>
    <row r="83" spans="1:128" s="62" customFormat="1">
      <c r="A83" s="162"/>
      <c r="B83" s="124" t="s">
        <v>293</v>
      </c>
      <c r="C83" s="119"/>
      <c r="D83" s="119"/>
      <c r="E83" s="119"/>
      <c r="F83" s="119"/>
      <c r="G83" s="119"/>
      <c r="H83" s="119">
        <v>1096</v>
      </c>
      <c r="I83" s="132"/>
      <c r="J83" s="132"/>
      <c r="K83" s="132"/>
      <c r="L83" s="132"/>
      <c r="M83" s="125"/>
      <c r="N83" s="130"/>
      <c r="O83" s="130"/>
      <c r="P83" s="124"/>
      <c r="Q83" s="124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25"/>
      <c r="AE83" s="126"/>
      <c r="AF83" s="126"/>
      <c r="AG83" s="126"/>
      <c r="AH83" s="126">
        <v>20</v>
      </c>
      <c r="AI83" s="126"/>
      <c r="AJ83" s="124"/>
      <c r="AK83" s="119"/>
      <c r="AL83" s="128">
        <f>SUM(AE83:AH83)</f>
        <v>20</v>
      </c>
      <c r="AM83" s="137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>
        <v>1</v>
      </c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9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1"/>
      <c r="BX83" s="141"/>
      <c r="BY83" s="141"/>
      <c r="BZ83" s="141"/>
      <c r="CA83" s="141"/>
      <c r="CB83" s="141"/>
      <c r="DT83" s="63"/>
      <c r="DU83" s="63"/>
      <c r="DV83" s="63"/>
      <c r="DW83" s="63"/>
      <c r="DX83" s="63"/>
    </row>
    <row r="84" spans="1:128" s="62" customFormat="1">
      <c r="A84" s="162"/>
      <c r="B84" s="124"/>
      <c r="C84" s="119"/>
      <c r="D84" s="119"/>
      <c r="E84" s="119"/>
      <c r="F84" s="119"/>
      <c r="G84" s="119"/>
      <c r="H84" s="119"/>
      <c r="I84" s="132"/>
      <c r="J84" s="132"/>
      <c r="K84" s="132"/>
      <c r="L84" s="132"/>
      <c r="M84" s="125"/>
      <c r="N84" s="130"/>
      <c r="O84" s="130"/>
      <c r="P84" s="124"/>
      <c r="Q84" s="124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25"/>
      <c r="AE84" s="126"/>
      <c r="AF84" s="126"/>
      <c r="AG84" s="126"/>
      <c r="AH84" s="126"/>
      <c r="AI84" s="126"/>
      <c r="AJ84" s="124"/>
      <c r="AK84" s="119"/>
      <c r="AL84" s="128"/>
      <c r="AM84" s="137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9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1"/>
      <c r="BX84" s="141"/>
      <c r="BY84" s="141"/>
      <c r="BZ84" s="141"/>
      <c r="CA84" s="141"/>
      <c r="CB84" s="141"/>
      <c r="DT84" s="63"/>
      <c r="DU84" s="63"/>
      <c r="DV84" s="63"/>
      <c r="DW84" s="63"/>
      <c r="DX84" s="63"/>
    </row>
    <row r="85" spans="1:128" s="62" customFormat="1">
      <c r="A85" s="162"/>
      <c r="B85" s="124"/>
      <c r="C85" s="119"/>
      <c r="D85" s="119"/>
      <c r="E85" s="119"/>
      <c r="F85" s="119"/>
      <c r="G85" s="119"/>
      <c r="H85" s="119"/>
      <c r="I85" s="132"/>
      <c r="J85" s="132"/>
      <c r="K85" s="132"/>
      <c r="L85" s="132"/>
      <c r="M85" s="125"/>
      <c r="N85" s="130"/>
      <c r="O85" s="130"/>
      <c r="P85" s="124"/>
      <c r="Q85" s="124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25"/>
      <c r="AE85" s="126"/>
      <c r="AF85" s="126"/>
      <c r="AG85" s="126"/>
      <c r="AH85" s="126"/>
      <c r="AI85" s="126"/>
      <c r="AJ85" s="124"/>
      <c r="AK85" s="119"/>
      <c r="AL85" s="128"/>
      <c r="AM85" s="137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9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1"/>
      <c r="BX85" s="141"/>
      <c r="BY85" s="141"/>
      <c r="BZ85" s="141"/>
      <c r="CA85" s="141"/>
      <c r="CB85" s="141"/>
      <c r="DT85" s="63"/>
      <c r="DU85" s="63"/>
      <c r="DV85" s="63"/>
      <c r="DW85" s="63"/>
      <c r="DX85" s="63"/>
    </row>
    <row r="86" spans="1:128" s="62" customFormat="1">
      <c r="A86" s="162"/>
      <c r="B86" s="124" t="s">
        <v>288</v>
      </c>
      <c r="C86" s="119"/>
      <c r="D86" s="119"/>
      <c r="E86" s="119"/>
      <c r="F86" s="119"/>
      <c r="G86" s="119"/>
      <c r="H86" s="119"/>
      <c r="I86" s="132"/>
      <c r="J86" s="132"/>
      <c r="K86" s="132"/>
      <c r="L86" s="132"/>
      <c r="M86" s="125"/>
      <c r="N86" s="130"/>
      <c r="O86" s="130"/>
      <c r="P86" s="124">
        <f>ROUNDUP((200*1.2)+((2.7*2)*3),0)</f>
        <v>257</v>
      </c>
      <c r="Q86" s="124"/>
      <c r="R86" s="119"/>
      <c r="S86" s="119"/>
      <c r="T86" s="119">
        <f>(P86*2)+(18.25*3)</f>
        <v>568.75</v>
      </c>
      <c r="U86" s="119">
        <f>18.25*3</f>
        <v>54.75</v>
      </c>
      <c r="V86" s="119"/>
      <c r="W86" s="119"/>
      <c r="X86" s="119"/>
      <c r="Y86" s="119"/>
      <c r="Z86" s="119"/>
      <c r="AA86" s="119"/>
      <c r="AB86" s="119">
        <f>4*3</f>
        <v>12</v>
      </c>
      <c r="AC86" s="119"/>
      <c r="AD86" s="125">
        <f>162+(2.7*2)</f>
        <v>167.4</v>
      </c>
      <c r="AE86" s="126"/>
      <c r="AF86" s="126"/>
      <c r="AG86" s="126"/>
      <c r="AH86" s="126"/>
      <c r="AI86" s="126"/>
      <c r="AJ86" s="124">
        <f>T86</f>
        <v>568.75</v>
      </c>
      <c r="AK86" s="119">
        <f>U86</f>
        <v>54.75</v>
      </c>
      <c r="AL86" s="125"/>
      <c r="AM86" s="137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9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1"/>
      <c r="BX86" s="141"/>
      <c r="BY86" s="141"/>
      <c r="BZ86" s="141"/>
      <c r="CA86" s="141"/>
      <c r="CB86" s="141"/>
      <c r="DT86" s="63"/>
      <c r="DU86" s="63"/>
      <c r="DV86" s="63"/>
      <c r="DW86" s="63"/>
      <c r="DX86" s="63"/>
    </row>
    <row r="87" spans="1:128" s="62" customFormat="1">
      <c r="A87" s="162"/>
      <c r="B87" s="124" t="s">
        <v>289</v>
      </c>
      <c r="C87" s="119"/>
      <c r="D87" s="119"/>
      <c r="E87" s="119"/>
      <c r="F87" s="119"/>
      <c r="G87" s="119"/>
      <c r="H87" s="119"/>
      <c r="I87" s="132"/>
      <c r="J87" s="132"/>
      <c r="K87" s="132"/>
      <c r="L87" s="132"/>
      <c r="M87" s="125"/>
      <c r="N87" s="130"/>
      <c r="O87" s="130"/>
      <c r="P87" s="124"/>
      <c r="Q87" s="124">
        <f>ROUNDUP(((3.7*2)+(1.5*2))*3,0)</f>
        <v>32</v>
      </c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>
        <f>4*3</f>
        <v>12</v>
      </c>
      <c r="AD87" s="125">
        <f>3.7*2</f>
        <v>7.4</v>
      </c>
      <c r="AE87" s="126"/>
      <c r="AF87" s="126"/>
      <c r="AG87" s="126"/>
      <c r="AH87" s="126"/>
      <c r="AI87" s="126"/>
      <c r="AJ87" s="124"/>
      <c r="AK87" s="119"/>
      <c r="AL87" s="125"/>
      <c r="AM87" s="137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9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1"/>
      <c r="BX87" s="141"/>
      <c r="BY87" s="141"/>
      <c r="BZ87" s="141"/>
      <c r="CA87" s="141"/>
      <c r="CB87" s="141"/>
      <c r="DT87" s="63"/>
      <c r="DU87" s="63"/>
      <c r="DV87" s="63"/>
      <c r="DW87" s="63"/>
      <c r="DX87" s="63"/>
    </row>
    <row r="88" spans="1:128" s="62" customFormat="1">
      <c r="A88" s="162"/>
      <c r="B88" s="124"/>
      <c r="C88" s="119"/>
      <c r="D88" s="119"/>
      <c r="E88" s="119"/>
      <c r="F88" s="119"/>
      <c r="G88" s="119"/>
      <c r="H88" s="119"/>
      <c r="I88" s="132"/>
      <c r="J88" s="132"/>
      <c r="K88" s="132"/>
      <c r="L88" s="132"/>
      <c r="M88" s="125"/>
      <c r="N88" s="130"/>
      <c r="O88" s="130"/>
      <c r="P88" s="124"/>
      <c r="Q88" s="124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25"/>
      <c r="AE88" s="126"/>
      <c r="AF88" s="126"/>
      <c r="AG88" s="126"/>
      <c r="AH88" s="126"/>
      <c r="AI88" s="126"/>
      <c r="AJ88" s="124"/>
      <c r="AK88" s="119"/>
      <c r="AL88" s="125"/>
      <c r="AM88" s="137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9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1"/>
      <c r="BX88" s="141"/>
      <c r="BY88" s="141"/>
      <c r="BZ88" s="141"/>
      <c r="CA88" s="141"/>
      <c r="CB88" s="141"/>
      <c r="DT88" s="63"/>
      <c r="DU88" s="63"/>
      <c r="DV88" s="63"/>
      <c r="DW88" s="63"/>
      <c r="DX88" s="63"/>
    </row>
    <row r="89" spans="1:128" s="62" customFormat="1">
      <c r="A89" s="129"/>
      <c r="B89" s="124"/>
      <c r="C89" s="119"/>
      <c r="D89" s="119"/>
      <c r="E89" s="119"/>
      <c r="F89" s="119"/>
      <c r="G89" s="119"/>
      <c r="H89" s="119"/>
      <c r="I89" s="132"/>
      <c r="J89" s="132"/>
      <c r="K89" s="132"/>
      <c r="L89" s="132"/>
      <c r="M89" s="122"/>
      <c r="N89" s="123"/>
      <c r="O89" s="123"/>
      <c r="P89" s="124"/>
      <c r="Q89" s="124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25"/>
      <c r="AE89" s="124"/>
      <c r="AF89" s="124"/>
      <c r="AG89" s="124"/>
      <c r="AH89" s="124"/>
      <c r="AI89" s="124"/>
      <c r="AJ89" s="124"/>
      <c r="AK89" s="119"/>
      <c r="AL89" s="125"/>
      <c r="AM89" s="137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9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1"/>
      <c r="BX89" s="141"/>
      <c r="BY89" s="141"/>
      <c r="BZ89" s="141"/>
      <c r="CA89" s="141"/>
      <c r="CB89" s="141"/>
      <c r="DT89" s="63"/>
      <c r="DU89" s="63"/>
      <c r="DV89" s="63"/>
      <c r="DW89" s="63"/>
      <c r="DX89" s="63"/>
    </row>
    <row r="90" spans="1:128" s="62" customFormat="1">
      <c r="A90" s="129"/>
      <c r="B90" s="124"/>
      <c r="C90" s="119"/>
      <c r="D90" s="119"/>
      <c r="E90" s="119"/>
      <c r="F90" s="119"/>
      <c r="G90" s="119"/>
      <c r="H90" s="119"/>
      <c r="I90" s="132"/>
      <c r="J90" s="132"/>
      <c r="K90" s="132"/>
      <c r="L90" s="132"/>
      <c r="M90" s="122"/>
      <c r="N90" s="123"/>
      <c r="O90" s="123"/>
      <c r="P90" s="124"/>
      <c r="Q90" s="124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25"/>
      <c r="AE90" s="124"/>
      <c r="AF90" s="124"/>
      <c r="AG90" s="124"/>
      <c r="AH90" s="124"/>
      <c r="AI90" s="124"/>
      <c r="AJ90" s="124"/>
      <c r="AK90" s="119"/>
      <c r="AL90" s="125"/>
      <c r="AM90" s="137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9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1"/>
      <c r="BX90" s="141"/>
      <c r="BY90" s="141"/>
      <c r="BZ90" s="141"/>
      <c r="CA90" s="141"/>
      <c r="CB90" s="141"/>
      <c r="DT90" s="63"/>
      <c r="DU90" s="63"/>
      <c r="DV90" s="63"/>
      <c r="DW90" s="63"/>
      <c r="DX90" s="63"/>
    </row>
    <row r="91" spans="1:128" s="62" customFormat="1" ht="24">
      <c r="A91" s="129"/>
      <c r="B91" s="142" t="s">
        <v>28</v>
      </c>
      <c r="C91" s="143">
        <f>ROUNDUP(SUM(C83:C90),0)</f>
        <v>0</v>
      </c>
      <c r="D91" s="143">
        <f t="shared" ref="D91:BM91" si="15">ROUNDUP(SUM(D83:D90),0)</f>
        <v>0</v>
      </c>
      <c r="E91" s="143">
        <f t="shared" si="15"/>
        <v>0</v>
      </c>
      <c r="F91" s="143">
        <f t="shared" si="15"/>
        <v>0</v>
      </c>
      <c r="G91" s="143">
        <f t="shared" si="15"/>
        <v>0</v>
      </c>
      <c r="H91" s="143">
        <f t="shared" si="15"/>
        <v>1096</v>
      </c>
      <c r="I91" s="143">
        <f t="shared" si="15"/>
        <v>0</v>
      </c>
      <c r="J91" s="143">
        <f t="shared" si="15"/>
        <v>0</v>
      </c>
      <c r="K91" s="143">
        <f t="shared" si="15"/>
        <v>0</v>
      </c>
      <c r="L91" s="143">
        <f t="shared" si="15"/>
        <v>0</v>
      </c>
      <c r="M91" s="143">
        <f t="shared" si="15"/>
        <v>0</v>
      </c>
      <c r="N91" s="143">
        <f t="shared" si="15"/>
        <v>0</v>
      </c>
      <c r="O91" s="143">
        <f t="shared" si="15"/>
        <v>0</v>
      </c>
      <c r="P91" s="143">
        <f t="shared" si="15"/>
        <v>257</v>
      </c>
      <c r="Q91" s="143">
        <f t="shared" si="15"/>
        <v>32</v>
      </c>
      <c r="R91" s="143">
        <f t="shared" si="15"/>
        <v>0</v>
      </c>
      <c r="S91" s="143">
        <f t="shared" si="15"/>
        <v>0</v>
      </c>
      <c r="T91" s="143">
        <f t="shared" si="15"/>
        <v>569</v>
      </c>
      <c r="U91" s="143">
        <f t="shared" si="15"/>
        <v>55</v>
      </c>
      <c r="V91" s="143">
        <f t="shared" si="15"/>
        <v>0</v>
      </c>
      <c r="W91" s="143">
        <f t="shared" si="15"/>
        <v>0</v>
      </c>
      <c r="X91" s="143">
        <f t="shared" si="15"/>
        <v>0</v>
      </c>
      <c r="Y91" s="143">
        <f t="shared" si="15"/>
        <v>0</v>
      </c>
      <c r="Z91" s="143">
        <f t="shared" si="15"/>
        <v>0</v>
      </c>
      <c r="AA91" s="143">
        <f t="shared" si="15"/>
        <v>0</v>
      </c>
      <c r="AB91" s="143">
        <f t="shared" si="15"/>
        <v>12</v>
      </c>
      <c r="AC91" s="143">
        <f t="shared" si="15"/>
        <v>12</v>
      </c>
      <c r="AD91" s="143">
        <f t="shared" si="15"/>
        <v>175</v>
      </c>
      <c r="AE91" s="143">
        <f t="shared" si="15"/>
        <v>0</v>
      </c>
      <c r="AF91" s="143">
        <f t="shared" si="15"/>
        <v>0</v>
      </c>
      <c r="AG91" s="143">
        <f t="shared" si="15"/>
        <v>0</v>
      </c>
      <c r="AH91" s="143">
        <f t="shared" si="15"/>
        <v>20</v>
      </c>
      <c r="AI91" s="143">
        <f t="shared" si="15"/>
        <v>0</v>
      </c>
      <c r="AJ91" s="143">
        <f t="shared" si="15"/>
        <v>569</v>
      </c>
      <c r="AK91" s="143">
        <f t="shared" si="15"/>
        <v>55</v>
      </c>
      <c r="AL91" s="143">
        <f t="shared" si="15"/>
        <v>20</v>
      </c>
      <c r="AM91" s="143">
        <f t="shared" si="15"/>
        <v>0</v>
      </c>
      <c r="AN91" s="143">
        <f t="shared" si="15"/>
        <v>0</v>
      </c>
      <c r="AO91" s="143">
        <f t="shared" si="15"/>
        <v>0</v>
      </c>
      <c r="AP91" s="143">
        <f t="shared" si="15"/>
        <v>0</v>
      </c>
      <c r="AQ91" s="143">
        <f t="shared" si="15"/>
        <v>0</v>
      </c>
      <c r="AR91" s="143">
        <f t="shared" si="15"/>
        <v>0</v>
      </c>
      <c r="AS91" s="143">
        <f t="shared" si="15"/>
        <v>0</v>
      </c>
      <c r="AT91" s="143">
        <f t="shared" si="15"/>
        <v>0</v>
      </c>
      <c r="AU91" s="143">
        <f t="shared" si="15"/>
        <v>0</v>
      </c>
      <c r="AV91" s="143">
        <f t="shared" si="15"/>
        <v>0</v>
      </c>
      <c r="AW91" s="143">
        <f t="shared" si="15"/>
        <v>0</v>
      </c>
      <c r="AX91" s="143">
        <f t="shared" si="15"/>
        <v>0</v>
      </c>
      <c r="AY91" s="143">
        <f t="shared" si="15"/>
        <v>1</v>
      </c>
      <c r="AZ91" s="143">
        <f t="shared" si="15"/>
        <v>0</v>
      </c>
      <c r="BA91" s="143">
        <f t="shared" si="15"/>
        <v>0</v>
      </c>
      <c r="BB91" s="143">
        <f t="shared" si="15"/>
        <v>0</v>
      </c>
      <c r="BC91" s="143">
        <f t="shared" si="15"/>
        <v>0</v>
      </c>
      <c r="BD91" s="143">
        <f t="shared" si="15"/>
        <v>0</v>
      </c>
      <c r="BE91" s="143">
        <f t="shared" si="15"/>
        <v>0</v>
      </c>
      <c r="BF91" s="143">
        <f t="shared" si="15"/>
        <v>0</v>
      </c>
      <c r="BG91" s="143">
        <f t="shared" si="15"/>
        <v>0</v>
      </c>
      <c r="BH91" s="143">
        <f t="shared" si="15"/>
        <v>0</v>
      </c>
      <c r="BI91" s="143">
        <f t="shared" si="15"/>
        <v>0</v>
      </c>
      <c r="BJ91" s="143">
        <f t="shared" si="15"/>
        <v>0</v>
      </c>
      <c r="BK91" s="143">
        <f t="shared" si="15"/>
        <v>0</v>
      </c>
      <c r="BL91" s="143">
        <f t="shared" si="15"/>
        <v>0</v>
      </c>
      <c r="BM91" s="143">
        <f t="shared" si="15"/>
        <v>0</v>
      </c>
      <c r="BN91" s="143">
        <f t="shared" ref="BN91:CB91" si="16">ROUNDUP(SUM(BN83:BN90),0)</f>
        <v>0</v>
      </c>
      <c r="BO91" s="143">
        <f t="shared" si="16"/>
        <v>0</v>
      </c>
      <c r="BP91" s="143">
        <f t="shared" si="16"/>
        <v>0</v>
      </c>
      <c r="BQ91" s="143">
        <f t="shared" si="16"/>
        <v>0</v>
      </c>
      <c r="BR91" s="143">
        <f t="shared" si="16"/>
        <v>0</v>
      </c>
      <c r="BS91" s="143">
        <f t="shared" si="16"/>
        <v>0</v>
      </c>
      <c r="BT91" s="143">
        <f t="shared" si="16"/>
        <v>0</v>
      </c>
      <c r="BU91" s="143">
        <f t="shared" si="16"/>
        <v>0</v>
      </c>
      <c r="BV91" s="143">
        <f t="shared" si="16"/>
        <v>0</v>
      </c>
      <c r="BW91" s="143">
        <f t="shared" si="16"/>
        <v>0</v>
      </c>
      <c r="BX91" s="143">
        <f t="shared" si="16"/>
        <v>0</v>
      </c>
      <c r="BY91" s="143">
        <f t="shared" si="16"/>
        <v>0</v>
      </c>
      <c r="BZ91" s="143">
        <f t="shared" si="16"/>
        <v>0</v>
      </c>
      <c r="CA91" s="143">
        <f t="shared" si="16"/>
        <v>0</v>
      </c>
      <c r="CB91" s="143">
        <f t="shared" si="16"/>
        <v>0</v>
      </c>
      <c r="DT91" s="63"/>
      <c r="DU91" s="63"/>
      <c r="DV91" s="63"/>
      <c r="DW91" s="63"/>
      <c r="DX91" s="63"/>
    </row>
    <row r="92" spans="1:128" s="62" customFormat="1" ht="24">
      <c r="A92" s="164"/>
      <c r="B92" s="165"/>
      <c r="C92" s="166"/>
      <c r="D92" s="166"/>
      <c r="E92" s="167"/>
      <c r="F92" s="167"/>
      <c r="G92" s="167"/>
      <c r="H92" s="167"/>
      <c r="I92" s="168"/>
      <c r="J92" s="168"/>
      <c r="K92" s="168"/>
      <c r="L92" s="168"/>
      <c r="M92" s="169"/>
      <c r="N92" s="170"/>
      <c r="O92" s="170"/>
      <c r="P92" s="163"/>
      <c r="Q92" s="163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71"/>
      <c r="AE92" s="163"/>
      <c r="AF92" s="163"/>
      <c r="AG92" s="163"/>
      <c r="AH92" s="163"/>
      <c r="AI92" s="163"/>
      <c r="AJ92" s="163"/>
      <c r="AK92" s="166"/>
      <c r="AL92" s="171"/>
      <c r="AM92" s="173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175"/>
      <c r="BL92" s="176"/>
      <c r="BM92" s="176"/>
      <c r="BN92" s="176"/>
      <c r="BO92" s="176"/>
      <c r="BP92" s="176"/>
      <c r="BQ92" s="176"/>
      <c r="BR92" s="176"/>
      <c r="BS92" s="176"/>
      <c r="BT92" s="176"/>
      <c r="BU92" s="176"/>
      <c r="BV92" s="176"/>
      <c r="BW92" s="177"/>
      <c r="BX92" s="177"/>
      <c r="BY92" s="177"/>
      <c r="BZ92" s="177"/>
      <c r="CA92" s="177"/>
      <c r="CB92" s="177"/>
      <c r="DT92" s="63"/>
      <c r="DU92" s="63"/>
      <c r="DV92" s="63"/>
      <c r="DW92" s="63"/>
      <c r="DX92" s="63"/>
    </row>
    <row r="93" spans="1:128" s="62" customFormat="1" ht="24">
      <c r="A93" s="164"/>
      <c r="B93" s="165"/>
      <c r="C93" s="166"/>
      <c r="D93" s="166"/>
      <c r="E93" s="167"/>
      <c r="F93" s="167"/>
      <c r="G93" s="167"/>
      <c r="H93" s="167"/>
      <c r="I93" s="168"/>
      <c r="J93" s="168"/>
      <c r="K93" s="168"/>
      <c r="L93" s="168"/>
      <c r="M93" s="169"/>
      <c r="N93" s="170"/>
      <c r="O93" s="170"/>
      <c r="P93" s="163"/>
      <c r="Q93" s="163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71"/>
      <c r="AE93" s="163"/>
      <c r="AF93" s="163"/>
      <c r="AG93" s="163"/>
      <c r="AH93" s="163"/>
      <c r="AI93" s="163"/>
      <c r="AJ93" s="163"/>
      <c r="AK93" s="166"/>
      <c r="AL93" s="171"/>
      <c r="AM93" s="173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5"/>
      <c r="BL93" s="176"/>
      <c r="BM93" s="176"/>
      <c r="BN93" s="176"/>
      <c r="BO93" s="176"/>
      <c r="BP93" s="176"/>
      <c r="BQ93" s="176"/>
      <c r="BR93" s="176"/>
      <c r="BS93" s="176"/>
      <c r="BT93" s="176"/>
      <c r="BU93" s="176"/>
      <c r="BV93" s="176"/>
      <c r="BW93" s="177"/>
      <c r="BX93" s="177"/>
      <c r="BY93" s="177"/>
      <c r="BZ93" s="177"/>
      <c r="CA93" s="177"/>
      <c r="CB93" s="177"/>
      <c r="DT93" s="63"/>
      <c r="DU93" s="63"/>
      <c r="DV93" s="63"/>
      <c r="DW93" s="63"/>
      <c r="DX93" s="63"/>
    </row>
    <row r="94" spans="1:128" s="62" customFormat="1">
      <c r="A94" s="164"/>
      <c r="B94" s="163"/>
      <c r="C94" s="166"/>
      <c r="D94" s="166"/>
      <c r="E94" s="167"/>
      <c r="F94" s="167"/>
      <c r="G94" s="167"/>
      <c r="H94" s="167"/>
      <c r="I94" s="168"/>
      <c r="J94" s="168"/>
      <c r="K94" s="168"/>
      <c r="L94" s="168"/>
      <c r="M94" s="169"/>
      <c r="N94" s="170"/>
      <c r="O94" s="170"/>
      <c r="P94" s="163"/>
      <c r="Q94" s="163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71"/>
      <c r="AE94" s="163"/>
      <c r="AF94" s="163"/>
      <c r="AG94" s="163"/>
      <c r="AH94" s="163"/>
      <c r="AI94" s="163"/>
      <c r="AJ94" s="163"/>
      <c r="AK94" s="166"/>
      <c r="AL94" s="171"/>
      <c r="AM94" s="173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5"/>
      <c r="BL94" s="176"/>
      <c r="BM94" s="176"/>
      <c r="BN94" s="176"/>
      <c r="BO94" s="176"/>
      <c r="BP94" s="176"/>
      <c r="BQ94" s="176"/>
      <c r="BR94" s="176"/>
      <c r="BS94" s="176"/>
      <c r="BT94" s="176"/>
      <c r="BU94" s="176"/>
      <c r="BV94" s="176"/>
      <c r="BW94" s="177"/>
      <c r="BX94" s="177"/>
      <c r="BY94" s="177"/>
      <c r="BZ94" s="177"/>
      <c r="CA94" s="177"/>
      <c r="CB94" s="177"/>
      <c r="DT94" s="63"/>
      <c r="DU94" s="63"/>
      <c r="DV94" s="63"/>
      <c r="DW94" s="63"/>
      <c r="DX94" s="63"/>
    </row>
    <row r="95" spans="1:128" s="62" customFormat="1">
      <c r="A95" s="164"/>
      <c r="B95" s="155" t="s">
        <v>249</v>
      </c>
      <c r="C95" s="178"/>
      <c r="D95" s="178"/>
      <c r="E95" s="179"/>
      <c r="F95" s="179"/>
      <c r="G95" s="179"/>
      <c r="H95" s="179"/>
      <c r="I95" s="180"/>
      <c r="J95" s="180"/>
      <c r="K95" s="180"/>
      <c r="L95" s="180"/>
      <c r="M95" s="181"/>
      <c r="N95" s="182"/>
      <c r="O95" s="182"/>
      <c r="P95" s="183"/>
      <c r="Q95" s="183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84"/>
      <c r="AE95" s="183"/>
      <c r="AF95" s="183"/>
      <c r="AG95" s="183"/>
      <c r="AH95" s="183"/>
      <c r="AI95" s="183"/>
      <c r="AJ95" s="183"/>
      <c r="AK95" s="178"/>
      <c r="AL95" s="184"/>
      <c r="AM95" s="185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186"/>
      <c r="BH95" s="186"/>
      <c r="BI95" s="186"/>
      <c r="BJ95" s="186"/>
      <c r="BK95" s="187"/>
      <c r="BL95" s="188"/>
      <c r="BM95" s="188"/>
      <c r="BN95" s="188"/>
      <c r="BO95" s="188"/>
      <c r="BP95" s="188"/>
      <c r="BQ95" s="188"/>
      <c r="BR95" s="188"/>
      <c r="BS95" s="188"/>
      <c r="BT95" s="188"/>
      <c r="BU95" s="188"/>
      <c r="BV95" s="188"/>
      <c r="BW95" s="189"/>
      <c r="BX95" s="189"/>
      <c r="BY95" s="189"/>
      <c r="BZ95" s="189"/>
      <c r="CA95" s="189"/>
      <c r="CB95" s="189"/>
      <c r="DT95" s="63"/>
      <c r="DU95" s="63"/>
      <c r="DV95" s="63"/>
      <c r="DW95" s="63"/>
      <c r="DX95" s="63"/>
    </row>
    <row r="96" spans="1:128" s="62" customFormat="1">
      <c r="A96" s="164"/>
      <c r="B96" s="190"/>
      <c r="C96" s="166"/>
      <c r="D96" s="166"/>
      <c r="E96" s="167"/>
      <c r="F96" s="167"/>
      <c r="G96" s="167"/>
      <c r="H96" s="167"/>
      <c r="I96" s="168"/>
      <c r="J96" s="168"/>
      <c r="K96" s="168"/>
      <c r="L96" s="168"/>
      <c r="M96" s="169"/>
      <c r="N96" s="170"/>
      <c r="O96" s="170"/>
      <c r="P96" s="163"/>
      <c r="Q96" s="163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71"/>
      <c r="AE96" s="163"/>
      <c r="AF96" s="163"/>
      <c r="AG96" s="163"/>
      <c r="AH96" s="163"/>
      <c r="AI96" s="163"/>
      <c r="AJ96" s="163"/>
      <c r="AK96" s="166"/>
      <c r="AL96" s="171"/>
      <c r="AM96" s="173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74"/>
      <c r="BF96" s="174"/>
      <c r="BG96" s="174"/>
      <c r="BH96" s="174"/>
      <c r="BI96" s="174"/>
      <c r="BJ96" s="174"/>
      <c r="BK96" s="175"/>
      <c r="BL96" s="176"/>
      <c r="BM96" s="176"/>
      <c r="BN96" s="176"/>
      <c r="BO96" s="176"/>
      <c r="BP96" s="176"/>
      <c r="BQ96" s="176"/>
      <c r="BR96" s="176"/>
      <c r="BS96" s="176"/>
      <c r="BT96" s="176"/>
      <c r="BU96" s="176"/>
      <c r="BV96" s="176"/>
      <c r="BW96" s="177"/>
      <c r="BX96" s="177"/>
      <c r="BY96" s="177"/>
      <c r="BZ96" s="177"/>
      <c r="CA96" s="177"/>
      <c r="CB96" s="177"/>
      <c r="DT96" s="63"/>
      <c r="DU96" s="63"/>
      <c r="DV96" s="63"/>
      <c r="DW96" s="63"/>
      <c r="DX96" s="63"/>
    </row>
    <row r="97" spans="1:128" s="62" customFormat="1">
      <c r="A97" s="164"/>
      <c r="B97" s="191" t="s">
        <v>270</v>
      </c>
      <c r="C97" s="166"/>
      <c r="D97" s="166"/>
      <c r="E97" s="167"/>
      <c r="F97" s="167"/>
      <c r="G97" s="167"/>
      <c r="H97" s="167"/>
      <c r="I97" s="168"/>
      <c r="J97" s="168"/>
      <c r="K97" s="168"/>
      <c r="L97" s="168"/>
      <c r="M97" s="169"/>
      <c r="N97" s="170"/>
      <c r="O97" s="170"/>
      <c r="P97" s="163"/>
      <c r="Q97" s="163"/>
      <c r="R97" s="166"/>
      <c r="S97" s="166"/>
      <c r="T97" s="166"/>
      <c r="U97" s="166"/>
      <c r="V97" s="166"/>
      <c r="W97" s="166"/>
      <c r="X97" s="166"/>
      <c r="Y97" s="172"/>
      <c r="Z97" s="217">
        <f>ROUNDUP((((0.1+0.6+0.1+0.6)*4)*35)+(((0.1+0.6+0.1+0.6)*7.5)*137)+((0.1+0.6+0.1+0.6)*(2.5+7.5+2.5+7.5)),0)</f>
        <v>1663</v>
      </c>
      <c r="AA97" s="163"/>
      <c r="AB97" s="166"/>
      <c r="AC97" s="166"/>
      <c r="AD97" s="171"/>
      <c r="AE97" s="163"/>
      <c r="AF97" s="163"/>
      <c r="AG97" s="163"/>
      <c r="AH97" s="163"/>
      <c r="AI97" s="163"/>
      <c r="AJ97" s="163">
        <f>Z97</f>
        <v>1663</v>
      </c>
      <c r="AK97" s="166"/>
      <c r="AL97" s="171"/>
      <c r="AM97" s="173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5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7"/>
      <c r="BX97" s="177"/>
      <c r="BY97" s="177"/>
      <c r="BZ97" s="177"/>
      <c r="CA97" s="177"/>
      <c r="CB97" s="177"/>
      <c r="DT97" s="63"/>
      <c r="DU97" s="63"/>
      <c r="DV97" s="63"/>
      <c r="DW97" s="63"/>
      <c r="DX97" s="63"/>
    </row>
    <row r="98" spans="1:128" s="62" customFormat="1">
      <c r="A98" s="164"/>
      <c r="B98" s="191"/>
      <c r="C98" s="166"/>
      <c r="D98" s="166"/>
      <c r="E98" s="167"/>
      <c r="F98" s="167"/>
      <c r="G98" s="167"/>
      <c r="H98" s="167"/>
      <c r="I98" s="168"/>
      <c r="J98" s="168"/>
      <c r="K98" s="168"/>
      <c r="L98" s="168"/>
      <c r="M98" s="169"/>
      <c r="N98" s="170"/>
      <c r="O98" s="170"/>
      <c r="P98" s="163"/>
      <c r="Q98" s="163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71"/>
      <c r="AE98" s="163"/>
      <c r="AF98" s="163"/>
      <c r="AG98" s="163"/>
      <c r="AH98" s="163"/>
      <c r="AI98" s="163"/>
      <c r="AJ98" s="163"/>
      <c r="AK98" s="166"/>
      <c r="AL98" s="171"/>
      <c r="AM98" s="173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4"/>
      <c r="BK98" s="175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7"/>
      <c r="BX98" s="177"/>
      <c r="BY98" s="177"/>
      <c r="BZ98" s="177"/>
      <c r="CA98" s="177"/>
      <c r="CB98" s="177"/>
      <c r="DT98" s="63"/>
      <c r="DU98" s="63"/>
      <c r="DV98" s="63"/>
      <c r="DW98" s="63"/>
      <c r="DX98" s="63"/>
    </row>
    <row r="99" spans="1:128" s="62" customFormat="1">
      <c r="A99" s="164"/>
      <c r="B99" s="163"/>
      <c r="C99" s="166"/>
      <c r="D99" s="166"/>
      <c r="E99" s="167"/>
      <c r="F99" s="167"/>
      <c r="G99" s="167"/>
      <c r="H99" s="167"/>
      <c r="I99" s="168"/>
      <c r="J99" s="168"/>
      <c r="K99" s="168"/>
      <c r="L99" s="168"/>
      <c r="M99" s="169"/>
      <c r="N99" s="170"/>
      <c r="O99" s="170"/>
      <c r="P99" s="163"/>
      <c r="Q99" s="163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71"/>
      <c r="AE99" s="163"/>
      <c r="AF99" s="163"/>
      <c r="AG99" s="163"/>
      <c r="AH99" s="163"/>
      <c r="AI99" s="163"/>
      <c r="AJ99" s="163"/>
      <c r="AK99" s="166"/>
      <c r="AL99" s="171"/>
      <c r="AM99" s="173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5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7"/>
      <c r="BX99" s="177"/>
      <c r="BY99" s="177"/>
      <c r="BZ99" s="177"/>
      <c r="CA99" s="177"/>
      <c r="CB99" s="177"/>
      <c r="DT99" s="63"/>
      <c r="DU99" s="63"/>
      <c r="DV99" s="63"/>
      <c r="DW99" s="63"/>
      <c r="DX99" s="63"/>
    </row>
    <row r="100" spans="1:128" s="62" customFormat="1">
      <c r="A100" s="164"/>
      <c r="B100" s="163"/>
      <c r="C100" s="166"/>
      <c r="D100" s="166"/>
      <c r="E100" s="167"/>
      <c r="F100" s="167"/>
      <c r="G100" s="167"/>
      <c r="H100" s="167"/>
      <c r="I100" s="168"/>
      <c r="J100" s="168"/>
      <c r="K100" s="168"/>
      <c r="L100" s="168"/>
      <c r="M100" s="169"/>
      <c r="N100" s="170"/>
      <c r="O100" s="170"/>
      <c r="P100" s="163"/>
      <c r="Q100" s="163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71"/>
      <c r="AE100" s="163"/>
      <c r="AF100" s="163"/>
      <c r="AG100" s="163"/>
      <c r="AH100" s="163"/>
      <c r="AI100" s="163"/>
      <c r="AJ100" s="163"/>
      <c r="AK100" s="166"/>
      <c r="AL100" s="171"/>
      <c r="AM100" s="173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74"/>
      <c r="BA100" s="174"/>
      <c r="BB100" s="174"/>
      <c r="BC100" s="174"/>
      <c r="BD100" s="174"/>
      <c r="BE100" s="174"/>
      <c r="BF100" s="174"/>
      <c r="BG100" s="174"/>
      <c r="BH100" s="174"/>
      <c r="BI100" s="174"/>
      <c r="BJ100" s="174"/>
      <c r="BK100" s="175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7"/>
      <c r="BX100" s="177"/>
      <c r="BY100" s="177"/>
      <c r="BZ100" s="177"/>
      <c r="CA100" s="177"/>
      <c r="CB100" s="177"/>
      <c r="DT100" s="63"/>
      <c r="DU100" s="63"/>
      <c r="DV100" s="63"/>
      <c r="DW100" s="63"/>
      <c r="DX100" s="63"/>
    </row>
    <row r="101" spans="1:128" s="62" customFormat="1">
      <c r="A101" s="164"/>
      <c r="B101" s="163"/>
      <c r="C101" s="166"/>
      <c r="D101" s="166"/>
      <c r="E101" s="167"/>
      <c r="F101" s="167"/>
      <c r="G101" s="167"/>
      <c r="H101" s="167"/>
      <c r="I101" s="168"/>
      <c r="J101" s="168"/>
      <c r="K101" s="168"/>
      <c r="L101" s="168"/>
      <c r="M101" s="169"/>
      <c r="N101" s="170"/>
      <c r="O101" s="170"/>
      <c r="P101" s="163"/>
      <c r="Q101" s="163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71"/>
      <c r="AE101" s="163"/>
      <c r="AF101" s="163"/>
      <c r="AG101" s="163"/>
      <c r="AH101" s="163"/>
      <c r="AI101" s="163"/>
      <c r="AJ101" s="163"/>
      <c r="AK101" s="166"/>
      <c r="AL101" s="171"/>
      <c r="AM101" s="173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/>
      <c r="BB101" s="174"/>
      <c r="BC101" s="174"/>
      <c r="BD101" s="174"/>
      <c r="BE101" s="174"/>
      <c r="BF101" s="174"/>
      <c r="BG101" s="174"/>
      <c r="BH101" s="174"/>
      <c r="BI101" s="174"/>
      <c r="BJ101" s="174"/>
      <c r="BK101" s="175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7"/>
      <c r="BX101" s="177"/>
      <c r="BY101" s="177"/>
      <c r="BZ101" s="177"/>
      <c r="CA101" s="177"/>
      <c r="CB101" s="177"/>
      <c r="DT101" s="63"/>
      <c r="DU101" s="63"/>
      <c r="DV101" s="63"/>
      <c r="DW101" s="63"/>
      <c r="DX101" s="63"/>
    </row>
    <row r="102" spans="1:128" s="62" customFormat="1">
      <c r="A102" s="164"/>
      <c r="B102" s="163"/>
      <c r="C102" s="166"/>
      <c r="D102" s="166"/>
      <c r="E102" s="167"/>
      <c r="F102" s="167"/>
      <c r="G102" s="167"/>
      <c r="H102" s="167"/>
      <c r="I102" s="168"/>
      <c r="J102" s="168"/>
      <c r="K102" s="168"/>
      <c r="L102" s="168"/>
      <c r="M102" s="169"/>
      <c r="N102" s="170"/>
      <c r="O102" s="170"/>
      <c r="P102" s="163"/>
      <c r="Q102" s="163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71"/>
      <c r="AE102" s="163"/>
      <c r="AF102" s="163"/>
      <c r="AG102" s="163"/>
      <c r="AH102" s="163"/>
      <c r="AI102" s="163"/>
      <c r="AJ102" s="163"/>
      <c r="AK102" s="166"/>
      <c r="AL102" s="171"/>
      <c r="AM102" s="173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5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7"/>
      <c r="BX102" s="177"/>
      <c r="BY102" s="177"/>
      <c r="BZ102" s="177"/>
      <c r="CA102" s="177"/>
      <c r="CB102" s="177"/>
      <c r="DT102" s="63"/>
      <c r="DU102" s="63"/>
      <c r="DV102" s="63"/>
      <c r="DW102" s="63"/>
      <c r="DX102" s="63"/>
    </row>
    <row r="103" spans="1:128" s="62" customFormat="1">
      <c r="A103" s="164"/>
      <c r="B103" s="163"/>
      <c r="C103" s="166"/>
      <c r="D103" s="166"/>
      <c r="E103" s="167"/>
      <c r="F103" s="167"/>
      <c r="G103" s="167"/>
      <c r="H103" s="167"/>
      <c r="I103" s="168"/>
      <c r="J103" s="168"/>
      <c r="K103" s="168"/>
      <c r="L103" s="168"/>
      <c r="M103" s="169"/>
      <c r="N103" s="170"/>
      <c r="O103" s="170"/>
      <c r="P103" s="163"/>
      <c r="Q103" s="163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71"/>
      <c r="AE103" s="163"/>
      <c r="AF103" s="163"/>
      <c r="AG103" s="163"/>
      <c r="AH103" s="163"/>
      <c r="AI103" s="163"/>
      <c r="AJ103" s="163"/>
      <c r="AK103" s="166"/>
      <c r="AL103" s="171"/>
      <c r="AM103" s="173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5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7"/>
      <c r="BX103" s="177"/>
      <c r="BY103" s="177"/>
      <c r="BZ103" s="177"/>
      <c r="CA103" s="177"/>
      <c r="CB103" s="177"/>
      <c r="DT103" s="63"/>
      <c r="DU103" s="63"/>
      <c r="DV103" s="63"/>
      <c r="DW103" s="63"/>
      <c r="DX103" s="63"/>
    </row>
    <row r="104" spans="1:128" s="62" customFormat="1">
      <c r="A104" s="164"/>
      <c r="B104" s="163"/>
      <c r="C104" s="166"/>
      <c r="D104" s="166"/>
      <c r="E104" s="167"/>
      <c r="F104" s="167"/>
      <c r="G104" s="167"/>
      <c r="H104" s="167"/>
      <c r="I104" s="168"/>
      <c r="J104" s="168"/>
      <c r="K104" s="168"/>
      <c r="L104" s="168"/>
      <c r="M104" s="169"/>
      <c r="N104" s="170"/>
      <c r="O104" s="170"/>
      <c r="P104" s="163"/>
      <c r="Q104" s="163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71"/>
      <c r="AE104" s="163"/>
      <c r="AF104" s="163"/>
      <c r="AG104" s="163"/>
      <c r="AH104" s="163"/>
      <c r="AI104" s="163"/>
      <c r="AJ104" s="163"/>
      <c r="AK104" s="166"/>
      <c r="AL104" s="171"/>
      <c r="AM104" s="173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5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7"/>
      <c r="BX104" s="177"/>
      <c r="BY104" s="177"/>
      <c r="BZ104" s="177"/>
      <c r="CA104" s="177"/>
      <c r="CB104" s="177"/>
      <c r="DT104" s="63"/>
      <c r="DU104" s="63"/>
      <c r="DV104" s="63"/>
      <c r="DW104" s="63"/>
      <c r="DX104" s="63"/>
    </row>
    <row r="105" spans="1:128" s="62" customFormat="1">
      <c r="A105" s="164"/>
      <c r="B105" s="163"/>
      <c r="C105" s="166"/>
      <c r="D105" s="166"/>
      <c r="E105" s="167"/>
      <c r="F105" s="167"/>
      <c r="G105" s="167"/>
      <c r="H105" s="167"/>
      <c r="I105" s="168"/>
      <c r="J105" s="168"/>
      <c r="K105" s="168"/>
      <c r="L105" s="168"/>
      <c r="M105" s="169"/>
      <c r="N105" s="170"/>
      <c r="O105" s="170"/>
      <c r="P105" s="163"/>
      <c r="Q105" s="163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71"/>
      <c r="AE105" s="163"/>
      <c r="AF105" s="163"/>
      <c r="AG105" s="163"/>
      <c r="AH105" s="163"/>
      <c r="AI105" s="163"/>
      <c r="AJ105" s="163"/>
      <c r="AK105" s="166"/>
      <c r="AL105" s="171"/>
      <c r="AM105" s="173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  <c r="BJ105" s="174"/>
      <c r="BK105" s="175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7"/>
      <c r="BX105" s="177"/>
      <c r="BY105" s="177"/>
      <c r="BZ105" s="177"/>
      <c r="CA105" s="177"/>
      <c r="CB105" s="177"/>
      <c r="DT105" s="63"/>
      <c r="DU105" s="63"/>
      <c r="DV105" s="63"/>
      <c r="DW105" s="63"/>
      <c r="DX105" s="63"/>
    </row>
    <row r="106" spans="1:128" s="62" customFormat="1" ht="24">
      <c r="A106" s="164"/>
      <c r="B106" s="142" t="s">
        <v>28</v>
      </c>
      <c r="C106" s="143">
        <f>ROUNDUP(SUM(C97:C105),0)</f>
        <v>0</v>
      </c>
      <c r="D106" s="143">
        <f t="shared" ref="D106:BM106" si="17">ROUNDUP(SUM(D97:D105),0)</f>
        <v>0</v>
      </c>
      <c r="E106" s="143">
        <f t="shared" si="17"/>
        <v>0</v>
      </c>
      <c r="F106" s="143">
        <f t="shared" si="17"/>
        <v>0</v>
      </c>
      <c r="G106" s="143">
        <f t="shared" si="17"/>
        <v>0</v>
      </c>
      <c r="H106" s="143">
        <f t="shared" si="17"/>
        <v>0</v>
      </c>
      <c r="I106" s="143">
        <f t="shared" si="17"/>
        <v>0</v>
      </c>
      <c r="J106" s="143">
        <f t="shared" si="17"/>
        <v>0</v>
      </c>
      <c r="K106" s="143">
        <f t="shared" si="17"/>
        <v>0</v>
      </c>
      <c r="L106" s="143">
        <f t="shared" si="17"/>
        <v>0</v>
      </c>
      <c r="M106" s="143">
        <f t="shared" si="17"/>
        <v>0</v>
      </c>
      <c r="N106" s="143">
        <f t="shared" si="17"/>
        <v>0</v>
      </c>
      <c r="O106" s="143">
        <f t="shared" si="17"/>
        <v>0</v>
      </c>
      <c r="P106" s="143">
        <f t="shared" si="17"/>
        <v>0</v>
      </c>
      <c r="Q106" s="143">
        <f t="shared" si="17"/>
        <v>0</v>
      </c>
      <c r="R106" s="143">
        <f t="shared" si="17"/>
        <v>0</v>
      </c>
      <c r="S106" s="143">
        <f t="shared" si="17"/>
        <v>0</v>
      </c>
      <c r="T106" s="143">
        <f t="shared" si="17"/>
        <v>0</v>
      </c>
      <c r="U106" s="143">
        <f t="shared" si="17"/>
        <v>0</v>
      </c>
      <c r="V106" s="143">
        <f t="shared" si="17"/>
        <v>0</v>
      </c>
      <c r="W106" s="143">
        <f t="shared" si="17"/>
        <v>0</v>
      </c>
      <c r="X106" s="143">
        <f t="shared" si="17"/>
        <v>0</v>
      </c>
      <c r="Y106" s="143">
        <f t="shared" si="17"/>
        <v>0</v>
      </c>
      <c r="Z106" s="143">
        <f t="shared" si="17"/>
        <v>1663</v>
      </c>
      <c r="AA106" s="143">
        <f t="shared" si="17"/>
        <v>0</v>
      </c>
      <c r="AB106" s="143">
        <f t="shared" si="17"/>
        <v>0</v>
      </c>
      <c r="AC106" s="143">
        <f t="shared" si="17"/>
        <v>0</v>
      </c>
      <c r="AD106" s="143">
        <f t="shared" si="17"/>
        <v>0</v>
      </c>
      <c r="AE106" s="143">
        <f t="shared" si="17"/>
        <v>0</v>
      </c>
      <c r="AF106" s="143">
        <f t="shared" si="17"/>
        <v>0</v>
      </c>
      <c r="AG106" s="143">
        <f t="shared" si="17"/>
        <v>0</v>
      </c>
      <c r="AH106" s="143">
        <f t="shared" si="17"/>
        <v>0</v>
      </c>
      <c r="AI106" s="143">
        <f t="shared" si="17"/>
        <v>0</v>
      </c>
      <c r="AJ106" s="143">
        <f t="shared" si="17"/>
        <v>1663</v>
      </c>
      <c r="AK106" s="143">
        <f t="shared" si="17"/>
        <v>0</v>
      </c>
      <c r="AL106" s="143">
        <f t="shared" si="17"/>
        <v>0</v>
      </c>
      <c r="AM106" s="143">
        <f t="shared" si="17"/>
        <v>0</v>
      </c>
      <c r="AN106" s="143">
        <f t="shared" si="17"/>
        <v>0</v>
      </c>
      <c r="AO106" s="143">
        <f t="shared" si="17"/>
        <v>0</v>
      </c>
      <c r="AP106" s="143">
        <f t="shared" si="17"/>
        <v>0</v>
      </c>
      <c r="AQ106" s="143">
        <f t="shared" si="17"/>
        <v>0</v>
      </c>
      <c r="AR106" s="143">
        <f t="shared" si="17"/>
        <v>0</v>
      </c>
      <c r="AS106" s="143">
        <f t="shared" si="17"/>
        <v>0</v>
      </c>
      <c r="AT106" s="143">
        <f t="shared" si="17"/>
        <v>0</v>
      </c>
      <c r="AU106" s="143">
        <f t="shared" si="17"/>
        <v>0</v>
      </c>
      <c r="AV106" s="143">
        <f t="shared" si="17"/>
        <v>0</v>
      </c>
      <c r="AW106" s="143">
        <f t="shared" si="17"/>
        <v>0</v>
      </c>
      <c r="AX106" s="143">
        <f t="shared" si="17"/>
        <v>0</v>
      </c>
      <c r="AY106" s="143">
        <f t="shared" si="17"/>
        <v>0</v>
      </c>
      <c r="AZ106" s="143">
        <f t="shared" si="17"/>
        <v>0</v>
      </c>
      <c r="BA106" s="143">
        <f t="shared" si="17"/>
        <v>0</v>
      </c>
      <c r="BB106" s="143">
        <f t="shared" si="17"/>
        <v>0</v>
      </c>
      <c r="BC106" s="143">
        <f t="shared" si="17"/>
        <v>0</v>
      </c>
      <c r="BD106" s="143">
        <f t="shared" si="17"/>
        <v>0</v>
      </c>
      <c r="BE106" s="143">
        <f t="shared" si="17"/>
        <v>0</v>
      </c>
      <c r="BF106" s="143">
        <f t="shared" si="17"/>
        <v>0</v>
      </c>
      <c r="BG106" s="143">
        <f t="shared" si="17"/>
        <v>0</v>
      </c>
      <c r="BH106" s="143">
        <f t="shared" si="17"/>
        <v>0</v>
      </c>
      <c r="BI106" s="143">
        <f t="shared" si="17"/>
        <v>0</v>
      </c>
      <c r="BJ106" s="143">
        <f t="shared" si="17"/>
        <v>0</v>
      </c>
      <c r="BK106" s="143">
        <f t="shared" si="17"/>
        <v>0</v>
      </c>
      <c r="BL106" s="143">
        <f t="shared" si="17"/>
        <v>0</v>
      </c>
      <c r="BM106" s="143">
        <f t="shared" si="17"/>
        <v>0</v>
      </c>
      <c r="BN106" s="143">
        <f t="shared" ref="BN106:CB106" si="18">ROUNDUP(SUM(BN97:BN105),0)</f>
        <v>0</v>
      </c>
      <c r="BO106" s="143">
        <f t="shared" si="18"/>
        <v>0</v>
      </c>
      <c r="BP106" s="143">
        <f t="shared" si="18"/>
        <v>0</v>
      </c>
      <c r="BQ106" s="143">
        <f t="shared" si="18"/>
        <v>0</v>
      </c>
      <c r="BR106" s="143">
        <f t="shared" si="18"/>
        <v>0</v>
      </c>
      <c r="BS106" s="143">
        <f t="shared" si="18"/>
        <v>0</v>
      </c>
      <c r="BT106" s="143">
        <f t="shared" si="18"/>
        <v>0</v>
      </c>
      <c r="BU106" s="143">
        <f t="shared" si="18"/>
        <v>0</v>
      </c>
      <c r="BV106" s="143">
        <f t="shared" si="18"/>
        <v>0</v>
      </c>
      <c r="BW106" s="143">
        <f t="shared" si="18"/>
        <v>0</v>
      </c>
      <c r="BX106" s="143">
        <f t="shared" si="18"/>
        <v>0</v>
      </c>
      <c r="BY106" s="143">
        <f t="shared" si="18"/>
        <v>0</v>
      </c>
      <c r="BZ106" s="143">
        <f t="shared" si="18"/>
        <v>0</v>
      </c>
      <c r="CA106" s="143">
        <f t="shared" si="18"/>
        <v>0</v>
      </c>
      <c r="CB106" s="143">
        <f t="shared" si="18"/>
        <v>0</v>
      </c>
      <c r="DT106" s="63"/>
      <c r="DU106" s="63"/>
      <c r="DV106" s="63"/>
      <c r="DW106" s="63"/>
      <c r="DX106" s="63"/>
    </row>
    <row r="107" spans="1:128" s="62" customFormat="1">
      <c r="A107" s="164"/>
      <c r="B107" s="163"/>
      <c r="C107" s="166"/>
      <c r="D107" s="166"/>
      <c r="E107" s="167"/>
      <c r="F107" s="167"/>
      <c r="G107" s="167"/>
      <c r="H107" s="167"/>
      <c r="I107" s="168"/>
      <c r="J107" s="168"/>
      <c r="K107" s="168"/>
      <c r="L107" s="168"/>
      <c r="M107" s="169"/>
      <c r="N107" s="170"/>
      <c r="O107" s="170"/>
      <c r="P107" s="163"/>
      <c r="Q107" s="163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71"/>
      <c r="AE107" s="163"/>
      <c r="AF107" s="163"/>
      <c r="AG107" s="163"/>
      <c r="AH107" s="163"/>
      <c r="AI107" s="163"/>
      <c r="AJ107" s="163"/>
      <c r="AK107" s="166"/>
      <c r="AL107" s="171"/>
      <c r="AM107" s="173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/>
      <c r="BB107" s="174"/>
      <c r="BC107" s="174"/>
      <c r="BD107" s="174"/>
      <c r="BE107" s="174"/>
      <c r="BF107" s="174"/>
      <c r="BG107" s="174"/>
      <c r="BH107" s="174"/>
      <c r="BI107" s="174"/>
      <c r="BJ107" s="174"/>
      <c r="BK107" s="175"/>
      <c r="BL107" s="176"/>
      <c r="BM107" s="176"/>
      <c r="BN107" s="176"/>
      <c r="BO107" s="176"/>
      <c r="BP107" s="176"/>
      <c r="BQ107" s="176"/>
      <c r="BR107" s="176"/>
      <c r="BS107" s="176"/>
      <c r="BT107" s="176"/>
      <c r="BU107" s="176"/>
      <c r="BV107" s="176"/>
      <c r="BW107" s="177"/>
      <c r="BX107" s="177"/>
      <c r="BY107" s="177"/>
      <c r="BZ107" s="177"/>
      <c r="CA107" s="177"/>
      <c r="CB107" s="177"/>
      <c r="DT107" s="63"/>
      <c r="DU107" s="63"/>
      <c r="DV107" s="63"/>
      <c r="DW107" s="63"/>
      <c r="DX107" s="63"/>
    </row>
    <row r="108" spans="1:128" s="62" customFormat="1">
      <c r="A108" s="164"/>
      <c r="B108" s="163"/>
      <c r="C108" s="166"/>
      <c r="D108" s="166"/>
      <c r="E108" s="167"/>
      <c r="F108" s="167"/>
      <c r="G108" s="167"/>
      <c r="H108" s="167"/>
      <c r="I108" s="168"/>
      <c r="J108" s="168"/>
      <c r="K108" s="168"/>
      <c r="L108" s="168"/>
      <c r="M108" s="169"/>
      <c r="N108" s="170"/>
      <c r="O108" s="170"/>
      <c r="P108" s="163"/>
      <c r="Q108" s="163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71"/>
      <c r="AE108" s="163"/>
      <c r="AF108" s="163"/>
      <c r="AG108" s="163"/>
      <c r="AH108" s="163"/>
      <c r="AI108" s="163"/>
      <c r="AJ108" s="163"/>
      <c r="AK108" s="166"/>
      <c r="AL108" s="171"/>
      <c r="AM108" s="173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5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7"/>
      <c r="BX108" s="177"/>
      <c r="BY108" s="177"/>
      <c r="BZ108" s="177"/>
      <c r="CA108" s="177"/>
      <c r="CB108" s="177"/>
      <c r="DT108" s="63"/>
      <c r="DU108" s="63"/>
      <c r="DV108" s="63"/>
      <c r="DW108" s="63"/>
      <c r="DX108" s="63"/>
    </row>
    <row r="109" spans="1:128" s="62" customFormat="1">
      <c r="A109" s="192"/>
      <c r="B109" s="193"/>
      <c r="C109" s="194"/>
      <c r="D109" s="194"/>
      <c r="E109" s="195"/>
      <c r="F109" s="195"/>
      <c r="G109" s="195"/>
      <c r="H109" s="195"/>
      <c r="I109" s="196"/>
      <c r="J109" s="196"/>
      <c r="K109" s="196"/>
      <c r="L109" s="196"/>
      <c r="M109" s="197"/>
      <c r="P109" s="193"/>
      <c r="Q109" s="193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8"/>
      <c r="AE109" s="193"/>
      <c r="AF109" s="193"/>
      <c r="AG109" s="193"/>
      <c r="AH109" s="193"/>
      <c r="AI109" s="193"/>
      <c r="AJ109" s="193"/>
      <c r="AK109" s="194"/>
      <c r="AL109" s="198"/>
      <c r="AM109" s="199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/>
      <c r="BA109" s="200"/>
      <c r="BB109" s="200"/>
      <c r="BC109" s="200"/>
      <c r="BD109" s="200"/>
      <c r="BE109" s="200"/>
      <c r="BF109" s="200"/>
      <c r="BG109" s="200"/>
      <c r="BH109" s="200"/>
      <c r="BI109" s="200"/>
      <c r="BJ109" s="200"/>
      <c r="BK109" s="201"/>
      <c r="BL109" s="202"/>
      <c r="BM109" s="202"/>
      <c r="BN109" s="202"/>
      <c r="BO109" s="202"/>
      <c r="BP109" s="202"/>
      <c r="BQ109" s="202"/>
      <c r="BR109" s="202"/>
      <c r="BS109" s="202"/>
      <c r="BT109" s="202"/>
      <c r="BU109" s="202"/>
      <c r="BV109" s="202"/>
      <c r="BW109" s="203"/>
      <c r="BX109" s="203"/>
      <c r="BY109" s="203"/>
      <c r="BZ109" s="203"/>
      <c r="CA109" s="203"/>
      <c r="CB109" s="203"/>
      <c r="DT109" s="63"/>
      <c r="DU109" s="63"/>
      <c r="DV109" s="63"/>
      <c r="DW109" s="63"/>
      <c r="DX109" s="63"/>
    </row>
    <row r="110" spans="1:128" s="62" customFormat="1" ht="24.75" thickBot="1">
      <c r="A110" s="204"/>
      <c r="B110" s="205" t="s">
        <v>239</v>
      </c>
      <c r="C110" s="206">
        <f>SUM(C36+C58+C80+C91+C106)</f>
        <v>1656</v>
      </c>
      <c r="D110" s="206">
        <f t="shared" ref="D110:BM110" si="19">SUM(D36+D58+D80+D91+D106)</f>
        <v>172</v>
      </c>
      <c r="E110" s="206">
        <f t="shared" si="19"/>
        <v>720</v>
      </c>
      <c r="F110" s="206">
        <f t="shared" si="19"/>
        <v>185</v>
      </c>
      <c r="G110" s="206">
        <f t="shared" si="19"/>
        <v>321</v>
      </c>
      <c r="H110" s="206">
        <f t="shared" si="19"/>
        <v>1108</v>
      </c>
      <c r="I110" s="206">
        <f t="shared" si="19"/>
        <v>0</v>
      </c>
      <c r="J110" s="206">
        <f t="shared" si="19"/>
        <v>0</v>
      </c>
      <c r="K110" s="206">
        <f t="shared" si="19"/>
        <v>0</v>
      </c>
      <c r="L110" s="206">
        <f t="shared" si="19"/>
        <v>0</v>
      </c>
      <c r="M110" s="206">
        <f t="shared" si="19"/>
        <v>905</v>
      </c>
      <c r="N110" s="206">
        <f t="shared" si="19"/>
        <v>0</v>
      </c>
      <c r="O110" s="206">
        <f t="shared" si="19"/>
        <v>0</v>
      </c>
      <c r="P110" s="206">
        <f t="shared" si="19"/>
        <v>2601</v>
      </c>
      <c r="Q110" s="206">
        <f t="shared" si="19"/>
        <v>489</v>
      </c>
      <c r="R110" s="206">
        <f t="shared" si="19"/>
        <v>0</v>
      </c>
      <c r="S110" s="206">
        <f t="shared" si="19"/>
        <v>0</v>
      </c>
      <c r="T110" s="206">
        <f t="shared" si="19"/>
        <v>2591</v>
      </c>
      <c r="U110" s="206">
        <f t="shared" si="19"/>
        <v>5414</v>
      </c>
      <c r="V110" s="206">
        <f t="shared" si="19"/>
        <v>2227</v>
      </c>
      <c r="W110" s="206">
        <f t="shared" si="19"/>
        <v>576</v>
      </c>
      <c r="X110" s="206">
        <f t="shared" si="19"/>
        <v>441</v>
      </c>
      <c r="Y110" s="206">
        <f t="shared" si="19"/>
        <v>0</v>
      </c>
      <c r="Z110" s="206">
        <f t="shared" si="19"/>
        <v>1663</v>
      </c>
      <c r="AA110" s="206">
        <f t="shared" si="19"/>
        <v>0</v>
      </c>
      <c r="AB110" s="206">
        <f t="shared" si="19"/>
        <v>827</v>
      </c>
      <c r="AC110" s="206">
        <f t="shared" si="19"/>
        <v>99</v>
      </c>
      <c r="AD110" s="206">
        <f t="shared" si="19"/>
        <v>991</v>
      </c>
      <c r="AE110" s="206">
        <f t="shared" si="19"/>
        <v>1594</v>
      </c>
      <c r="AF110" s="206">
        <f t="shared" si="19"/>
        <v>292</v>
      </c>
      <c r="AG110" s="206">
        <f t="shared" si="19"/>
        <v>200</v>
      </c>
      <c r="AH110" s="206">
        <f t="shared" si="19"/>
        <v>950</v>
      </c>
      <c r="AI110" s="206">
        <f t="shared" si="19"/>
        <v>0</v>
      </c>
      <c r="AJ110" s="206">
        <f t="shared" si="19"/>
        <v>4254</v>
      </c>
      <c r="AK110" s="206">
        <f t="shared" si="19"/>
        <v>5414</v>
      </c>
      <c r="AL110" s="206">
        <f t="shared" si="19"/>
        <v>2836</v>
      </c>
      <c r="AM110" s="206">
        <f t="shared" si="19"/>
        <v>2</v>
      </c>
      <c r="AN110" s="206">
        <f t="shared" si="19"/>
        <v>3</v>
      </c>
      <c r="AO110" s="206">
        <f t="shared" si="19"/>
        <v>1</v>
      </c>
      <c r="AP110" s="206">
        <f t="shared" si="19"/>
        <v>2</v>
      </c>
      <c r="AQ110" s="206">
        <f t="shared" si="19"/>
        <v>9</v>
      </c>
      <c r="AR110" s="206">
        <f t="shared" si="19"/>
        <v>8</v>
      </c>
      <c r="AS110" s="206">
        <f t="shared" si="19"/>
        <v>2</v>
      </c>
      <c r="AT110" s="206">
        <f t="shared" si="19"/>
        <v>3</v>
      </c>
      <c r="AU110" s="206">
        <f t="shared" si="19"/>
        <v>1</v>
      </c>
      <c r="AV110" s="206">
        <f t="shared" si="19"/>
        <v>13</v>
      </c>
      <c r="AW110" s="206">
        <f t="shared" si="19"/>
        <v>4</v>
      </c>
      <c r="AX110" s="206">
        <f t="shared" si="19"/>
        <v>1</v>
      </c>
      <c r="AY110" s="206">
        <f t="shared" si="19"/>
        <v>1</v>
      </c>
      <c r="AZ110" s="206">
        <f t="shared" si="19"/>
        <v>2</v>
      </c>
      <c r="BA110" s="206">
        <f t="shared" si="19"/>
        <v>0</v>
      </c>
      <c r="BB110" s="206">
        <f t="shared" si="19"/>
        <v>0</v>
      </c>
      <c r="BC110" s="206">
        <f t="shared" si="19"/>
        <v>0</v>
      </c>
      <c r="BD110" s="206">
        <f t="shared" si="19"/>
        <v>1</v>
      </c>
      <c r="BE110" s="206">
        <f t="shared" si="19"/>
        <v>3</v>
      </c>
      <c r="BF110" s="206">
        <f t="shared" si="19"/>
        <v>16</v>
      </c>
      <c r="BG110" s="206">
        <f t="shared" si="19"/>
        <v>9</v>
      </c>
      <c r="BH110" s="206">
        <f t="shared" si="19"/>
        <v>3</v>
      </c>
      <c r="BI110" s="206">
        <f t="shared" si="19"/>
        <v>3</v>
      </c>
      <c r="BJ110" s="206">
        <f t="shared" si="19"/>
        <v>1</v>
      </c>
      <c r="BK110" s="206">
        <f t="shared" si="19"/>
        <v>1</v>
      </c>
      <c r="BL110" s="206">
        <f t="shared" si="19"/>
        <v>2</v>
      </c>
      <c r="BM110" s="206">
        <f t="shared" si="19"/>
        <v>4</v>
      </c>
      <c r="BN110" s="206">
        <f t="shared" ref="BN110:CB110" si="20">SUM(BN36+BN58+BN80+BN91+BN106)</f>
        <v>0</v>
      </c>
      <c r="BO110" s="206">
        <f t="shared" si="20"/>
        <v>0</v>
      </c>
      <c r="BP110" s="206">
        <f t="shared" si="20"/>
        <v>0</v>
      </c>
      <c r="BQ110" s="206">
        <f t="shared" si="20"/>
        <v>0</v>
      </c>
      <c r="BR110" s="206">
        <f t="shared" si="20"/>
        <v>0</v>
      </c>
      <c r="BS110" s="206">
        <f t="shared" si="20"/>
        <v>0</v>
      </c>
      <c r="BT110" s="206">
        <f t="shared" si="20"/>
        <v>0</v>
      </c>
      <c r="BU110" s="206">
        <f t="shared" si="20"/>
        <v>0</v>
      </c>
      <c r="BV110" s="206">
        <f t="shared" si="20"/>
        <v>0</v>
      </c>
      <c r="BW110" s="206">
        <f t="shared" si="20"/>
        <v>0</v>
      </c>
      <c r="BX110" s="206">
        <f t="shared" si="20"/>
        <v>0</v>
      </c>
      <c r="BY110" s="206">
        <f t="shared" si="20"/>
        <v>0</v>
      </c>
      <c r="BZ110" s="206">
        <f t="shared" si="20"/>
        <v>0</v>
      </c>
      <c r="CA110" s="206">
        <f t="shared" si="20"/>
        <v>0</v>
      </c>
      <c r="CB110" s="206">
        <f t="shared" si="20"/>
        <v>0</v>
      </c>
      <c r="DT110" s="63"/>
      <c r="DU110" s="63"/>
      <c r="DV110" s="63"/>
      <c r="DW110" s="63"/>
      <c r="DX110" s="63"/>
    </row>
    <row r="111" spans="1:128" s="62" customFormat="1" ht="22.5" thickTop="1">
      <c r="AD111" s="207"/>
      <c r="AE111" s="207"/>
      <c r="AF111" s="207"/>
      <c r="AG111" s="207"/>
      <c r="AH111" s="207"/>
      <c r="AI111" s="207"/>
      <c r="DT111" s="63"/>
      <c r="DU111" s="63"/>
      <c r="DV111" s="63"/>
      <c r="DW111" s="63"/>
      <c r="DX111" s="63"/>
    </row>
    <row r="115" spans="4:128" s="62" customFormat="1">
      <c r="D115" s="62" t="s">
        <v>240</v>
      </c>
      <c r="E115" s="116">
        <f>SUM(C36:L36)</f>
        <v>930</v>
      </c>
      <c r="AB115" s="62" t="s">
        <v>241</v>
      </c>
      <c r="AD115" s="116">
        <f>AB36+AC36+AD36</f>
        <v>473</v>
      </c>
      <c r="DT115" s="63"/>
      <c r="DU115" s="63"/>
      <c r="DV115" s="63"/>
      <c r="DW115" s="63"/>
      <c r="DX115" s="63"/>
    </row>
    <row r="116" spans="4:128" s="62" customFormat="1">
      <c r="D116" s="62" t="s">
        <v>242</v>
      </c>
      <c r="E116" s="116">
        <f>SUM(C58:L58)</f>
        <v>959</v>
      </c>
      <c r="AB116" s="62" t="s">
        <v>243</v>
      </c>
      <c r="AD116" s="116">
        <f>AB58+AC58+AD58</f>
        <v>542</v>
      </c>
      <c r="DT116" s="63"/>
      <c r="DU116" s="63"/>
      <c r="DV116" s="63"/>
      <c r="DW116" s="63"/>
      <c r="DX116" s="63"/>
    </row>
    <row r="117" spans="4:128" s="62" customFormat="1">
      <c r="D117" s="62" t="s">
        <v>271</v>
      </c>
      <c r="E117" s="116">
        <f>SUM(C91:L91)</f>
        <v>1096</v>
      </c>
      <c r="G117" s="116"/>
      <c r="AB117" s="62" t="s">
        <v>272</v>
      </c>
      <c r="AD117" s="116">
        <f>AB91+AC91+AD91</f>
        <v>199</v>
      </c>
      <c r="DT117" s="63"/>
      <c r="DU117" s="63"/>
      <c r="DV117" s="63"/>
      <c r="DW117" s="63"/>
      <c r="DX117" s="63"/>
    </row>
    <row r="118" spans="4:128" s="62" customFormat="1">
      <c r="D118" s="62" t="s">
        <v>244</v>
      </c>
      <c r="E118" s="116">
        <f>ROUNDUP(SUM(C110:J110),0)</f>
        <v>4162</v>
      </c>
      <c r="DT118" s="63"/>
      <c r="DU118" s="63"/>
      <c r="DV118" s="63"/>
      <c r="DW118" s="63"/>
      <c r="DX118" s="63"/>
    </row>
    <row r="122" spans="4:128" s="62" customFormat="1">
      <c r="T122" s="116"/>
      <c r="DT122" s="63"/>
      <c r="DU122" s="63"/>
      <c r="DV122" s="63"/>
      <c r="DW122" s="63"/>
      <c r="DX122" s="63"/>
    </row>
    <row r="125" spans="4:128" s="62" customFormat="1">
      <c r="G125" s="116"/>
      <c r="T125" s="116"/>
      <c r="DT125" s="63"/>
      <c r="DU125" s="63"/>
      <c r="DV125" s="63"/>
      <c r="DW125" s="63"/>
      <c r="DX125" s="63"/>
    </row>
    <row r="126" spans="4:128" s="62" customFormat="1">
      <c r="G126" s="116"/>
      <c r="DT126" s="63"/>
      <c r="DU126" s="63"/>
      <c r="DV126" s="63"/>
      <c r="DW126" s="63"/>
      <c r="DX126" s="63"/>
    </row>
    <row r="127" spans="4:128" s="62" customFormat="1">
      <c r="G127" s="116"/>
      <c r="DT127" s="63"/>
      <c r="DU127" s="63"/>
      <c r="DV127" s="63"/>
      <c r="DW127" s="63"/>
      <c r="DX127" s="63"/>
    </row>
    <row r="128" spans="4:128" s="62" customFormat="1">
      <c r="G128" s="116"/>
      <c r="DT128" s="63"/>
      <c r="DU128" s="63"/>
      <c r="DV128" s="63"/>
      <c r="DW128" s="63"/>
      <c r="DX128" s="63"/>
    </row>
    <row r="129" spans="7:128" s="62" customFormat="1">
      <c r="G129" s="116"/>
      <c r="DT129" s="63"/>
      <c r="DU129" s="63"/>
      <c r="DV129" s="63"/>
      <c r="DW129" s="63"/>
      <c r="DX129" s="63"/>
    </row>
    <row r="130" spans="7:128" s="62" customFormat="1">
      <c r="G130" s="116"/>
      <c r="T130" s="116"/>
      <c r="DT130" s="63"/>
      <c r="DU130" s="63"/>
      <c r="DV130" s="63"/>
      <c r="DW130" s="63"/>
      <c r="DX130" s="63"/>
    </row>
    <row r="131" spans="7:128" s="62" customFormat="1">
      <c r="G131" s="116"/>
      <c r="T131" s="116"/>
      <c r="DT131" s="63"/>
      <c r="DU131" s="63"/>
      <c r="DV131" s="63"/>
      <c r="DW131" s="63"/>
      <c r="DX131" s="63"/>
    </row>
    <row r="132" spans="7:128" s="62" customFormat="1">
      <c r="G132" s="116"/>
      <c r="DT132" s="63"/>
      <c r="DU132" s="63"/>
      <c r="DV132" s="63"/>
      <c r="DW132" s="63"/>
      <c r="DX132" s="63"/>
    </row>
  </sheetData>
  <mergeCells count="15">
    <mergeCell ref="BW5:BX5"/>
    <mergeCell ref="BZ5:CA5"/>
    <mergeCell ref="BW3:BW4"/>
    <mergeCell ref="BX3:BX4"/>
    <mergeCell ref="BY3:BY4"/>
    <mergeCell ref="BZ3:BZ4"/>
    <mergeCell ref="CA3:CA4"/>
    <mergeCell ref="CB3:CB4"/>
    <mergeCell ref="C3:M3"/>
    <mergeCell ref="P3:X3"/>
    <mergeCell ref="AB3:AC3"/>
    <mergeCell ref="AE3:AF3"/>
    <mergeCell ref="AJ3:AL3"/>
    <mergeCell ref="AM3:BV3"/>
    <mergeCell ref="T4:U4"/>
  </mergeCells>
  <phoneticPr fontId="1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4"/>
  <sheetViews>
    <sheetView topLeftCell="A34" zoomScale="60" zoomScaleNormal="60" workbookViewId="0">
      <selection activeCell="C61" sqref="C61"/>
    </sheetView>
  </sheetViews>
  <sheetFormatPr defaultRowHeight="24"/>
  <cols>
    <col min="1" max="1" width="6.42578125" style="353" customWidth="1"/>
    <col min="2" max="2" width="41.7109375" style="353" customWidth="1"/>
    <col min="3" max="16" width="27.28515625" style="353" customWidth="1"/>
    <col min="17" max="18" width="17.7109375" style="353" customWidth="1"/>
    <col min="19" max="20" width="24.5703125" style="353" customWidth="1"/>
    <col min="21" max="25" width="17.7109375" style="353" customWidth="1"/>
    <col min="26" max="29" width="27" style="353" customWidth="1"/>
    <col min="30" max="30" width="13.7109375" style="353" customWidth="1"/>
    <col min="31" max="31" width="15.5703125" style="353" customWidth="1"/>
    <col min="32" max="32" width="16.5703125" style="353" customWidth="1"/>
    <col min="33" max="33" width="20.28515625" style="353" customWidth="1"/>
    <col min="34" max="55" width="16.5703125" style="353" customWidth="1"/>
    <col min="56" max="74" width="9.28515625" style="353"/>
    <col min="75" max="178" width="9.28515625" style="366"/>
    <col min="179" max="179" width="4.42578125" style="366" bestFit="1" customWidth="1"/>
    <col min="180" max="180" width="41.7109375" style="366" customWidth="1"/>
    <col min="181" max="181" width="11.28515625" style="366" customWidth="1"/>
    <col min="182" max="185" width="15.42578125" style="366" customWidth="1"/>
    <col min="186" max="186" width="12.28515625" style="366" customWidth="1"/>
    <col min="187" max="187" width="12.42578125" style="366" customWidth="1"/>
    <col min="188" max="188" width="15.5703125" style="366" customWidth="1"/>
    <col min="189" max="189" width="14.42578125" style="366" customWidth="1"/>
    <col min="190" max="191" width="14.7109375" style="366" customWidth="1"/>
    <col min="192" max="192" width="20.7109375" style="366" customWidth="1"/>
    <col min="193" max="193" width="20.28515625" style="366" customWidth="1"/>
    <col min="194" max="196" width="6.7109375" style="366" customWidth="1"/>
    <col min="197" max="197" width="12.7109375" style="366" customWidth="1"/>
    <col min="198" max="198" width="10.5703125" style="366" customWidth="1"/>
    <col min="199" max="199" width="11.28515625" style="366" customWidth="1"/>
    <col min="200" max="201" width="10.5703125" style="366" customWidth="1"/>
    <col min="202" max="202" width="13.5703125" style="366" customWidth="1"/>
    <col min="203" max="203" width="11.7109375" style="366" customWidth="1"/>
    <col min="204" max="204" width="8.5703125" style="366" customWidth="1"/>
    <col min="205" max="205" width="10.28515625" style="366" customWidth="1"/>
    <col min="206" max="215" width="10.5703125" style="366" customWidth="1"/>
    <col min="216" max="217" width="9" style="366" customWidth="1"/>
    <col min="218" max="218" width="9.7109375" style="366" customWidth="1"/>
    <col min="219" max="219" width="11.7109375" style="366" customWidth="1"/>
    <col min="220" max="222" width="10.5703125" style="366" customWidth="1"/>
    <col min="223" max="223" width="10" style="366" customWidth="1"/>
    <col min="224" max="225" width="9.28515625" style="366"/>
    <col min="226" max="226" width="11.42578125" style="366" customWidth="1"/>
    <col min="227" max="251" width="6.5703125" style="366" customWidth="1"/>
    <col min="252" max="252" width="13.28515625" style="366" customWidth="1"/>
    <col min="253" max="253" width="11.5703125" style="366" customWidth="1"/>
    <col min="254" max="255" width="13.7109375" style="366" customWidth="1"/>
    <col min="256" max="263" width="9.28515625" style="366"/>
    <col min="264" max="264" width="10" style="366" bestFit="1" customWidth="1"/>
    <col min="265" max="265" width="9.28515625" style="366"/>
    <col min="266" max="266" width="10" style="366" bestFit="1" customWidth="1"/>
    <col min="267" max="274" width="9.28515625" style="366"/>
    <col min="275" max="275" width="11.42578125" style="366" customWidth="1"/>
    <col min="276" max="434" width="9.28515625" style="366"/>
    <col min="435" max="435" width="4.42578125" style="366" bestFit="1" customWidth="1"/>
    <col min="436" max="436" width="41.7109375" style="366" customWidth="1"/>
    <col min="437" max="437" width="11.28515625" style="366" customWidth="1"/>
    <col min="438" max="441" width="15.42578125" style="366" customWidth="1"/>
    <col min="442" max="442" width="12.28515625" style="366" customWidth="1"/>
    <col min="443" max="443" width="12.42578125" style="366" customWidth="1"/>
    <col min="444" max="444" width="15.5703125" style="366" customWidth="1"/>
    <col min="445" max="445" width="14.42578125" style="366" customWidth="1"/>
    <col min="446" max="447" width="14.7109375" style="366" customWidth="1"/>
    <col min="448" max="448" width="20.7109375" style="366" customWidth="1"/>
    <col min="449" max="449" width="20.28515625" style="366" customWidth="1"/>
    <col min="450" max="452" width="6.7109375" style="366" customWidth="1"/>
    <col min="453" max="453" width="12.7109375" style="366" customWidth="1"/>
    <col min="454" max="454" width="10.5703125" style="366" customWidth="1"/>
    <col min="455" max="455" width="11.28515625" style="366" customWidth="1"/>
    <col min="456" max="457" width="10.5703125" style="366" customWidth="1"/>
    <col min="458" max="458" width="13.5703125" style="366" customWidth="1"/>
    <col min="459" max="459" width="11.7109375" style="366" customWidth="1"/>
    <col min="460" max="460" width="8.5703125" style="366" customWidth="1"/>
    <col min="461" max="461" width="10.28515625" style="366" customWidth="1"/>
    <col min="462" max="471" width="10.5703125" style="366" customWidth="1"/>
    <col min="472" max="473" width="9" style="366" customWidth="1"/>
    <col min="474" max="474" width="9.7109375" style="366" customWidth="1"/>
    <col min="475" max="475" width="11.7109375" style="366" customWidth="1"/>
    <col min="476" max="478" width="10.5703125" style="366" customWidth="1"/>
    <col min="479" max="479" width="10" style="366" customWidth="1"/>
    <col min="480" max="481" width="9.28515625" style="366"/>
    <col min="482" max="482" width="11.42578125" style="366" customWidth="1"/>
    <col min="483" max="507" width="6.5703125" style="366" customWidth="1"/>
    <col min="508" max="508" width="13.28515625" style="366" customWidth="1"/>
    <col min="509" max="509" width="11.5703125" style="366" customWidth="1"/>
    <col min="510" max="511" width="13.7109375" style="366" customWidth="1"/>
    <col min="512" max="519" width="9.28515625" style="366"/>
    <col min="520" max="520" width="10" style="366" bestFit="1" customWidth="1"/>
    <col min="521" max="521" width="9.28515625" style="366"/>
    <col min="522" max="522" width="10" style="366" bestFit="1" customWidth="1"/>
    <col min="523" max="530" width="9.28515625" style="366"/>
    <col min="531" max="531" width="11.42578125" style="366" customWidth="1"/>
    <col min="532" max="690" width="9.28515625" style="366"/>
    <col min="691" max="691" width="4.42578125" style="366" bestFit="1" customWidth="1"/>
    <col min="692" max="692" width="41.7109375" style="366" customWidth="1"/>
    <col min="693" max="693" width="11.28515625" style="366" customWidth="1"/>
    <col min="694" max="697" width="15.42578125" style="366" customWidth="1"/>
    <col min="698" max="698" width="12.28515625" style="366" customWidth="1"/>
    <col min="699" max="699" width="12.42578125" style="366" customWidth="1"/>
    <col min="700" max="700" width="15.5703125" style="366" customWidth="1"/>
    <col min="701" max="701" width="14.42578125" style="366" customWidth="1"/>
    <col min="702" max="703" width="14.7109375" style="366" customWidth="1"/>
    <col min="704" max="704" width="20.7109375" style="366" customWidth="1"/>
    <col min="705" max="705" width="20.28515625" style="366" customWidth="1"/>
    <col min="706" max="708" width="6.7109375" style="366" customWidth="1"/>
    <col min="709" max="709" width="12.7109375" style="366" customWidth="1"/>
    <col min="710" max="710" width="10.5703125" style="366" customWidth="1"/>
    <col min="711" max="711" width="11.28515625" style="366" customWidth="1"/>
    <col min="712" max="713" width="10.5703125" style="366" customWidth="1"/>
    <col min="714" max="714" width="13.5703125" style="366" customWidth="1"/>
    <col min="715" max="715" width="11.7109375" style="366" customWidth="1"/>
    <col min="716" max="716" width="8.5703125" style="366" customWidth="1"/>
    <col min="717" max="717" width="10.28515625" style="366" customWidth="1"/>
    <col min="718" max="727" width="10.5703125" style="366" customWidth="1"/>
    <col min="728" max="729" width="9" style="366" customWidth="1"/>
    <col min="730" max="730" width="9.7109375" style="366" customWidth="1"/>
    <col min="731" max="731" width="11.7109375" style="366" customWidth="1"/>
    <col min="732" max="734" width="10.5703125" style="366" customWidth="1"/>
    <col min="735" max="735" width="10" style="366" customWidth="1"/>
    <col min="736" max="737" width="9.28515625" style="366"/>
    <col min="738" max="738" width="11.42578125" style="366" customWidth="1"/>
    <col min="739" max="763" width="6.5703125" style="366" customWidth="1"/>
    <col min="764" max="764" width="13.28515625" style="366" customWidth="1"/>
    <col min="765" max="765" width="11.5703125" style="366" customWidth="1"/>
    <col min="766" max="767" width="13.7109375" style="366" customWidth="1"/>
    <col min="768" max="775" width="9.28515625" style="366"/>
    <col min="776" max="776" width="10" style="366" bestFit="1" customWidth="1"/>
    <col min="777" max="777" width="9.28515625" style="366"/>
    <col min="778" max="778" width="10" style="366" bestFit="1" customWidth="1"/>
    <col min="779" max="786" width="9.28515625" style="366"/>
    <col min="787" max="787" width="11.42578125" style="366" customWidth="1"/>
    <col min="788" max="946" width="9.28515625" style="366"/>
    <col min="947" max="947" width="4.42578125" style="366" bestFit="1" customWidth="1"/>
    <col min="948" max="948" width="41.7109375" style="366" customWidth="1"/>
    <col min="949" max="949" width="11.28515625" style="366" customWidth="1"/>
    <col min="950" max="953" width="15.42578125" style="366" customWidth="1"/>
    <col min="954" max="954" width="12.28515625" style="366" customWidth="1"/>
    <col min="955" max="955" width="12.42578125" style="366" customWidth="1"/>
    <col min="956" max="956" width="15.5703125" style="366" customWidth="1"/>
    <col min="957" max="957" width="14.42578125" style="366" customWidth="1"/>
    <col min="958" max="959" width="14.7109375" style="366" customWidth="1"/>
    <col min="960" max="960" width="20.7109375" style="366" customWidth="1"/>
    <col min="961" max="961" width="20.28515625" style="366" customWidth="1"/>
    <col min="962" max="964" width="6.7109375" style="366" customWidth="1"/>
    <col min="965" max="965" width="12.7109375" style="366" customWidth="1"/>
    <col min="966" max="966" width="10.5703125" style="366" customWidth="1"/>
    <col min="967" max="967" width="11.28515625" style="366" customWidth="1"/>
    <col min="968" max="969" width="10.5703125" style="366" customWidth="1"/>
    <col min="970" max="970" width="13.5703125" style="366" customWidth="1"/>
    <col min="971" max="971" width="11.7109375" style="366" customWidth="1"/>
    <col min="972" max="972" width="8.5703125" style="366" customWidth="1"/>
    <col min="973" max="973" width="10.28515625" style="366" customWidth="1"/>
    <col min="974" max="983" width="10.5703125" style="366" customWidth="1"/>
    <col min="984" max="985" width="9" style="366" customWidth="1"/>
    <col min="986" max="986" width="9.7109375" style="366" customWidth="1"/>
    <col min="987" max="987" width="11.7109375" style="366" customWidth="1"/>
    <col min="988" max="990" width="10.5703125" style="366" customWidth="1"/>
    <col min="991" max="991" width="10" style="366" customWidth="1"/>
    <col min="992" max="993" width="9.28515625" style="366"/>
    <col min="994" max="994" width="11.42578125" style="366" customWidth="1"/>
    <col min="995" max="1019" width="6.5703125" style="366" customWidth="1"/>
    <col min="1020" max="1020" width="13.28515625" style="366" customWidth="1"/>
    <col min="1021" max="1021" width="11.5703125" style="366" customWidth="1"/>
    <col min="1022" max="1023" width="13.7109375" style="366" customWidth="1"/>
    <col min="1024" max="1031" width="9.28515625" style="366"/>
    <col min="1032" max="1032" width="10" style="366" bestFit="1" customWidth="1"/>
    <col min="1033" max="1033" width="9.28515625" style="366"/>
    <col min="1034" max="1034" width="10" style="366" bestFit="1" customWidth="1"/>
    <col min="1035" max="1042" width="9.28515625" style="366"/>
    <col min="1043" max="1043" width="11.42578125" style="366" customWidth="1"/>
    <col min="1044" max="1202" width="9.28515625" style="366"/>
    <col min="1203" max="1203" width="4.42578125" style="366" bestFit="1" customWidth="1"/>
    <col min="1204" max="1204" width="41.7109375" style="366" customWidth="1"/>
    <col min="1205" max="1205" width="11.28515625" style="366" customWidth="1"/>
    <col min="1206" max="1209" width="15.42578125" style="366" customWidth="1"/>
    <col min="1210" max="1210" width="12.28515625" style="366" customWidth="1"/>
    <col min="1211" max="1211" width="12.42578125" style="366" customWidth="1"/>
    <col min="1212" max="1212" width="15.5703125" style="366" customWidth="1"/>
    <col min="1213" max="1213" width="14.42578125" style="366" customWidth="1"/>
    <col min="1214" max="1215" width="14.7109375" style="366" customWidth="1"/>
    <col min="1216" max="1216" width="20.7109375" style="366" customWidth="1"/>
    <col min="1217" max="1217" width="20.28515625" style="366" customWidth="1"/>
    <col min="1218" max="1220" width="6.7109375" style="366" customWidth="1"/>
    <col min="1221" max="1221" width="12.7109375" style="366" customWidth="1"/>
    <col min="1222" max="1222" width="10.5703125" style="366" customWidth="1"/>
    <col min="1223" max="1223" width="11.28515625" style="366" customWidth="1"/>
    <col min="1224" max="1225" width="10.5703125" style="366" customWidth="1"/>
    <col min="1226" max="1226" width="13.5703125" style="366" customWidth="1"/>
    <col min="1227" max="1227" width="11.7109375" style="366" customWidth="1"/>
    <col min="1228" max="1228" width="8.5703125" style="366" customWidth="1"/>
    <col min="1229" max="1229" width="10.28515625" style="366" customWidth="1"/>
    <col min="1230" max="1239" width="10.5703125" style="366" customWidth="1"/>
    <col min="1240" max="1241" width="9" style="366" customWidth="1"/>
    <col min="1242" max="1242" width="9.7109375" style="366" customWidth="1"/>
    <col min="1243" max="1243" width="11.7109375" style="366" customWidth="1"/>
    <col min="1244" max="1246" width="10.5703125" style="366" customWidth="1"/>
    <col min="1247" max="1247" width="10" style="366" customWidth="1"/>
    <col min="1248" max="1249" width="9.28515625" style="366"/>
    <col min="1250" max="1250" width="11.42578125" style="366" customWidth="1"/>
    <col min="1251" max="1275" width="6.5703125" style="366" customWidth="1"/>
    <col min="1276" max="1276" width="13.28515625" style="366" customWidth="1"/>
    <col min="1277" max="1277" width="11.5703125" style="366" customWidth="1"/>
    <col min="1278" max="1279" width="13.7109375" style="366" customWidth="1"/>
    <col min="1280" max="1287" width="9.28515625" style="366"/>
    <col min="1288" max="1288" width="10" style="366" bestFit="1" customWidth="1"/>
    <col min="1289" max="1289" width="9.28515625" style="366"/>
    <col min="1290" max="1290" width="10" style="366" bestFit="1" customWidth="1"/>
    <col min="1291" max="1298" width="9.28515625" style="366"/>
    <col min="1299" max="1299" width="11.42578125" style="366" customWidth="1"/>
    <col min="1300" max="1458" width="9.28515625" style="366"/>
    <col min="1459" max="1459" width="4.42578125" style="366" bestFit="1" customWidth="1"/>
    <col min="1460" max="1460" width="41.7109375" style="366" customWidth="1"/>
    <col min="1461" max="1461" width="11.28515625" style="366" customWidth="1"/>
    <col min="1462" max="1465" width="15.42578125" style="366" customWidth="1"/>
    <col min="1466" max="1466" width="12.28515625" style="366" customWidth="1"/>
    <col min="1467" max="1467" width="12.42578125" style="366" customWidth="1"/>
    <col min="1468" max="1468" width="15.5703125" style="366" customWidth="1"/>
    <col min="1469" max="1469" width="14.42578125" style="366" customWidth="1"/>
    <col min="1470" max="1471" width="14.7109375" style="366" customWidth="1"/>
    <col min="1472" max="1472" width="20.7109375" style="366" customWidth="1"/>
    <col min="1473" max="1473" width="20.28515625" style="366" customWidth="1"/>
    <col min="1474" max="1476" width="6.7109375" style="366" customWidth="1"/>
    <col min="1477" max="1477" width="12.7109375" style="366" customWidth="1"/>
    <col min="1478" max="1478" width="10.5703125" style="366" customWidth="1"/>
    <col min="1479" max="1479" width="11.28515625" style="366" customWidth="1"/>
    <col min="1480" max="1481" width="10.5703125" style="366" customWidth="1"/>
    <col min="1482" max="1482" width="13.5703125" style="366" customWidth="1"/>
    <col min="1483" max="1483" width="11.7109375" style="366" customWidth="1"/>
    <col min="1484" max="1484" width="8.5703125" style="366" customWidth="1"/>
    <col min="1485" max="1485" width="10.28515625" style="366" customWidth="1"/>
    <col min="1486" max="1495" width="10.5703125" style="366" customWidth="1"/>
    <col min="1496" max="1497" width="9" style="366" customWidth="1"/>
    <col min="1498" max="1498" width="9.7109375" style="366" customWidth="1"/>
    <col min="1499" max="1499" width="11.7109375" style="366" customWidth="1"/>
    <col min="1500" max="1502" width="10.5703125" style="366" customWidth="1"/>
    <col min="1503" max="1503" width="10" style="366" customWidth="1"/>
    <col min="1504" max="1505" width="9.28515625" style="366"/>
    <col min="1506" max="1506" width="11.42578125" style="366" customWidth="1"/>
    <col min="1507" max="1531" width="6.5703125" style="366" customWidth="1"/>
    <col min="1532" max="1532" width="13.28515625" style="366" customWidth="1"/>
    <col min="1533" max="1533" width="11.5703125" style="366" customWidth="1"/>
    <col min="1534" max="1535" width="13.7109375" style="366" customWidth="1"/>
    <col min="1536" max="1543" width="9.28515625" style="366"/>
    <col min="1544" max="1544" width="10" style="366" bestFit="1" customWidth="1"/>
    <col min="1545" max="1545" width="9.28515625" style="366"/>
    <col min="1546" max="1546" width="10" style="366" bestFit="1" customWidth="1"/>
    <col min="1547" max="1554" width="9.28515625" style="366"/>
    <col min="1555" max="1555" width="11.42578125" style="366" customWidth="1"/>
    <col min="1556" max="1714" width="9.28515625" style="366"/>
    <col min="1715" max="1715" width="4.42578125" style="366" bestFit="1" customWidth="1"/>
    <col min="1716" max="1716" width="41.7109375" style="366" customWidth="1"/>
    <col min="1717" max="1717" width="11.28515625" style="366" customWidth="1"/>
    <col min="1718" max="1721" width="15.42578125" style="366" customWidth="1"/>
    <col min="1722" max="1722" width="12.28515625" style="366" customWidth="1"/>
    <col min="1723" max="1723" width="12.42578125" style="366" customWidth="1"/>
    <col min="1724" max="1724" width="15.5703125" style="366" customWidth="1"/>
    <col min="1725" max="1725" width="14.42578125" style="366" customWidth="1"/>
    <col min="1726" max="1727" width="14.7109375" style="366" customWidth="1"/>
    <col min="1728" max="1728" width="20.7109375" style="366" customWidth="1"/>
    <col min="1729" max="1729" width="20.28515625" style="366" customWidth="1"/>
    <col min="1730" max="1732" width="6.7109375" style="366" customWidth="1"/>
    <col min="1733" max="1733" width="12.7109375" style="366" customWidth="1"/>
    <col min="1734" max="1734" width="10.5703125" style="366" customWidth="1"/>
    <col min="1735" max="1735" width="11.28515625" style="366" customWidth="1"/>
    <col min="1736" max="1737" width="10.5703125" style="366" customWidth="1"/>
    <col min="1738" max="1738" width="13.5703125" style="366" customWidth="1"/>
    <col min="1739" max="1739" width="11.7109375" style="366" customWidth="1"/>
    <col min="1740" max="1740" width="8.5703125" style="366" customWidth="1"/>
    <col min="1741" max="1741" width="10.28515625" style="366" customWidth="1"/>
    <col min="1742" max="1751" width="10.5703125" style="366" customWidth="1"/>
    <col min="1752" max="1753" width="9" style="366" customWidth="1"/>
    <col min="1754" max="1754" width="9.7109375" style="366" customWidth="1"/>
    <col min="1755" max="1755" width="11.7109375" style="366" customWidth="1"/>
    <col min="1756" max="1758" width="10.5703125" style="366" customWidth="1"/>
    <col min="1759" max="1759" width="10" style="366" customWidth="1"/>
    <col min="1760" max="1761" width="9.28515625" style="366"/>
    <col min="1762" max="1762" width="11.42578125" style="366" customWidth="1"/>
    <col min="1763" max="1787" width="6.5703125" style="366" customWidth="1"/>
    <col min="1788" max="1788" width="13.28515625" style="366" customWidth="1"/>
    <col min="1789" max="1789" width="11.5703125" style="366" customWidth="1"/>
    <col min="1790" max="1791" width="13.7109375" style="366" customWidth="1"/>
    <col min="1792" max="1799" width="9.28515625" style="366"/>
    <col min="1800" max="1800" width="10" style="366" bestFit="1" customWidth="1"/>
    <col min="1801" max="1801" width="9.28515625" style="366"/>
    <col min="1802" max="1802" width="10" style="366" bestFit="1" customWidth="1"/>
    <col min="1803" max="1810" width="9.28515625" style="366"/>
    <col min="1811" max="1811" width="11.42578125" style="366" customWidth="1"/>
    <col min="1812" max="1970" width="9.28515625" style="366"/>
    <col min="1971" max="1971" width="4.42578125" style="366" bestFit="1" customWidth="1"/>
    <col min="1972" max="1972" width="41.7109375" style="366" customWidth="1"/>
    <col min="1973" max="1973" width="11.28515625" style="366" customWidth="1"/>
    <col min="1974" max="1977" width="15.42578125" style="366" customWidth="1"/>
    <col min="1978" max="1978" width="12.28515625" style="366" customWidth="1"/>
    <col min="1979" max="1979" width="12.42578125" style="366" customWidth="1"/>
    <col min="1980" max="1980" width="15.5703125" style="366" customWidth="1"/>
    <col min="1981" max="1981" width="14.42578125" style="366" customWidth="1"/>
    <col min="1982" max="1983" width="14.7109375" style="366" customWidth="1"/>
    <col min="1984" max="1984" width="20.7109375" style="366" customWidth="1"/>
    <col min="1985" max="1985" width="20.28515625" style="366" customWidth="1"/>
    <col min="1986" max="1988" width="6.7109375" style="366" customWidth="1"/>
    <col min="1989" max="1989" width="12.7109375" style="366" customWidth="1"/>
    <col min="1990" max="1990" width="10.5703125" style="366" customWidth="1"/>
    <col min="1991" max="1991" width="11.28515625" style="366" customWidth="1"/>
    <col min="1992" max="1993" width="10.5703125" style="366" customWidth="1"/>
    <col min="1994" max="1994" width="13.5703125" style="366" customWidth="1"/>
    <col min="1995" max="1995" width="11.7109375" style="366" customWidth="1"/>
    <col min="1996" max="1996" width="8.5703125" style="366" customWidth="1"/>
    <col min="1997" max="1997" width="10.28515625" style="366" customWidth="1"/>
    <col min="1998" max="2007" width="10.5703125" style="366" customWidth="1"/>
    <col min="2008" max="2009" width="9" style="366" customWidth="1"/>
    <col min="2010" max="2010" width="9.7109375" style="366" customWidth="1"/>
    <col min="2011" max="2011" width="11.7109375" style="366" customWidth="1"/>
    <col min="2012" max="2014" width="10.5703125" style="366" customWidth="1"/>
    <col min="2015" max="2015" width="10" style="366" customWidth="1"/>
    <col min="2016" max="2017" width="9.28515625" style="366"/>
    <col min="2018" max="2018" width="11.42578125" style="366" customWidth="1"/>
    <col min="2019" max="2043" width="6.5703125" style="366" customWidth="1"/>
    <col min="2044" max="2044" width="13.28515625" style="366" customWidth="1"/>
    <col min="2045" max="2045" width="11.5703125" style="366" customWidth="1"/>
    <col min="2046" max="2047" width="13.7109375" style="366" customWidth="1"/>
    <col min="2048" max="2055" width="9.28515625" style="366"/>
    <col min="2056" max="2056" width="10" style="366" bestFit="1" customWidth="1"/>
    <col min="2057" max="2057" width="9.28515625" style="366"/>
    <col min="2058" max="2058" width="10" style="366" bestFit="1" customWidth="1"/>
    <col min="2059" max="2066" width="9.28515625" style="366"/>
    <col min="2067" max="2067" width="11.42578125" style="366" customWidth="1"/>
    <col min="2068" max="2226" width="9.28515625" style="366"/>
    <col min="2227" max="2227" width="4.42578125" style="366" bestFit="1" customWidth="1"/>
    <col min="2228" max="2228" width="41.7109375" style="366" customWidth="1"/>
    <col min="2229" max="2229" width="11.28515625" style="366" customWidth="1"/>
    <col min="2230" max="2233" width="15.42578125" style="366" customWidth="1"/>
    <col min="2234" max="2234" width="12.28515625" style="366" customWidth="1"/>
    <col min="2235" max="2235" width="12.42578125" style="366" customWidth="1"/>
    <col min="2236" max="2236" width="15.5703125" style="366" customWidth="1"/>
    <col min="2237" max="2237" width="14.42578125" style="366" customWidth="1"/>
    <col min="2238" max="2239" width="14.7109375" style="366" customWidth="1"/>
    <col min="2240" max="2240" width="20.7109375" style="366" customWidth="1"/>
    <col min="2241" max="2241" width="20.28515625" style="366" customWidth="1"/>
    <col min="2242" max="2244" width="6.7109375" style="366" customWidth="1"/>
    <col min="2245" max="2245" width="12.7109375" style="366" customWidth="1"/>
    <col min="2246" max="2246" width="10.5703125" style="366" customWidth="1"/>
    <col min="2247" max="2247" width="11.28515625" style="366" customWidth="1"/>
    <col min="2248" max="2249" width="10.5703125" style="366" customWidth="1"/>
    <col min="2250" max="2250" width="13.5703125" style="366" customWidth="1"/>
    <col min="2251" max="2251" width="11.7109375" style="366" customWidth="1"/>
    <col min="2252" max="2252" width="8.5703125" style="366" customWidth="1"/>
    <col min="2253" max="2253" width="10.28515625" style="366" customWidth="1"/>
    <col min="2254" max="2263" width="10.5703125" style="366" customWidth="1"/>
    <col min="2264" max="2265" width="9" style="366" customWidth="1"/>
    <col min="2266" max="2266" width="9.7109375" style="366" customWidth="1"/>
    <col min="2267" max="2267" width="11.7109375" style="366" customWidth="1"/>
    <col min="2268" max="2270" width="10.5703125" style="366" customWidth="1"/>
    <col min="2271" max="2271" width="10" style="366" customWidth="1"/>
    <col min="2272" max="2273" width="9.28515625" style="366"/>
    <col min="2274" max="2274" width="11.42578125" style="366" customWidth="1"/>
    <col min="2275" max="2299" width="6.5703125" style="366" customWidth="1"/>
    <col min="2300" max="2300" width="13.28515625" style="366" customWidth="1"/>
    <col min="2301" max="2301" width="11.5703125" style="366" customWidth="1"/>
    <col min="2302" max="2303" width="13.7109375" style="366" customWidth="1"/>
    <col min="2304" max="2311" width="9.28515625" style="366"/>
    <col min="2312" max="2312" width="10" style="366" bestFit="1" customWidth="1"/>
    <col min="2313" max="2313" width="9.28515625" style="366"/>
    <col min="2314" max="2314" width="10" style="366" bestFit="1" customWidth="1"/>
    <col min="2315" max="2322" width="9.28515625" style="366"/>
    <col min="2323" max="2323" width="11.42578125" style="366" customWidth="1"/>
    <col min="2324" max="2482" width="9.28515625" style="366"/>
    <col min="2483" max="2483" width="4.42578125" style="366" bestFit="1" customWidth="1"/>
    <col min="2484" max="2484" width="41.7109375" style="366" customWidth="1"/>
    <col min="2485" max="2485" width="11.28515625" style="366" customWidth="1"/>
    <col min="2486" max="2489" width="15.42578125" style="366" customWidth="1"/>
    <col min="2490" max="2490" width="12.28515625" style="366" customWidth="1"/>
    <col min="2491" max="2491" width="12.42578125" style="366" customWidth="1"/>
    <col min="2492" max="2492" width="15.5703125" style="366" customWidth="1"/>
    <col min="2493" max="2493" width="14.42578125" style="366" customWidth="1"/>
    <col min="2494" max="2495" width="14.7109375" style="366" customWidth="1"/>
    <col min="2496" max="2496" width="20.7109375" style="366" customWidth="1"/>
    <col min="2497" max="2497" width="20.28515625" style="366" customWidth="1"/>
    <col min="2498" max="2500" width="6.7109375" style="366" customWidth="1"/>
    <col min="2501" max="2501" width="12.7109375" style="366" customWidth="1"/>
    <col min="2502" max="2502" width="10.5703125" style="366" customWidth="1"/>
    <col min="2503" max="2503" width="11.28515625" style="366" customWidth="1"/>
    <col min="2504" max="2505" width="10.5703125" style="366" customWidth="1"/>
    <col min="2506" max="2506" width="13.5703125" style="366" customWidth="1"/>
    <col min="2507" max="2507" width="11.7109375" style="366" customWidth="1"/>
    <col min="2508" max="2508" width="8.5703125" style="366" customWidth="1"/>
    <col min="2509" max="2509" width="10.28515625" style="366" customWidth="1"/>
    <col min="2510" max="2519" width="10.5703125" style="366" customWidth="1"/>
    <col min="2520" max="2521" width="9" style="366" customWidth="1"/>
    <col min="2522" max="2522" width="9.7109375" style="366" customWidth="1"/>
    <col min="2523" max="2523" width="11.7109375" style="366" customWidth="1"/>
    <col min="2524" max="2526" width="10.5703125" style="366" customWidth="1"/>
    <col min="2527" max="2527" width="10" style="366" customWidth="1"/>
    <col min="2528" max="2529" width="9.28515625" style="366"/>
    <col min="2530" max="2530" width="11.42578125" style="366" customWidth="1"/>
    <col min="2531" max="2555" width="6.5703125" style="366" customWidth="1"/>
    <col min="2556" max="2556" width="13.28515625" style="366" customWidth="1"/>
    <col min="2557" max="2557" width="11.5703125" style="366" customWidth="1"/>
    <col min="2558" max="2559" width="13.7109375" style="366" customWidth="1"/>
    <col min="2560" max="2567" width="9.28515625" style="366"/>
    <col min="2568" max="2568" width="10" style="366" bestFit="1" customWidth="1"/>
    <col min="2569" max="2569" width="9.28515625" style="366"/>
    <col min="2570" max="2570" width="10" style="366" bestFit="1" customWidth="1"/>
    <col min="2571" max="2578" width="9.28515625" style="366"/>
    <col min="2579" max="2579" width="11.42578125" style="366" customWidth="1"/>
    <col min="2580" max="2738" width="9.28515625" style="366"/>
    <col min="2739" max="2739" width="4.42578125" style="366" bestFit="1" customWidth="1"/>
    <col min="2740" max="2740" width="41.7109375" style="366" customWidth="1"/>
    <col min="2741" max="2741" width="11.28515625" style="366" customWidth="1"/>
    <col min="2742" max="2745" width="15.42578125" style="366" customWidth="1"/>
    <col min="2746" max="2746" width="12.28515625" style="366" customWidth="1"/>
    <col min="2747" max="2747" width="12.42578125" style="366" customWidth="1"/>
    <col min="2748" max="2748" width="15.5703125" style="366" customWidth="1"/>
    <col min="2749" max="2749" width="14.42578125" style="366" customWidth="1"/>
    <col min="2750" max="2751" width="14.7109375" style="366" customWidth="1"/>
    <col min="2752" max="2752" width="20.7109375" style="366" customWidth="1"/>
    <col min="2753" max="2753" width="20.28515625" style="366" customWidth="1"/>
    <col min="2754" max="2756" width="6.7109375" style="366" customWidth="1"/>
    <col min="2757" max="2757" width="12.7109375" style="366" customWidth="1"/>
    <col min="2758" max="2758" width="10.5703125" style="366" customWidth="1"/>
    <col min="2759" max="2759" width="11.28515625" style="366" customWidth="1"/>
    <col min="2760" max="2761" width="10.5703125" style="366" customWidth="1"/>
    <col min="2762" max="2762" width="13.5703125" style="366" customWidth="1"/>
    <col min="2763" max="2763" width="11.7109375" style="366" customWidth="1"/>
    <col min="2764" max="2764" width="8.5703125" style="366" customWidth="1"/>
    <col min="2765" max="2765" width="10.28515625" style="366" customWidth="1"/>
    <col min="2766" max="2775" width="10.5703125" style="366" customWidth="1"/>
    <col min="2776" max="2777" width="9" style="366" customWidth="1"/>
    <col min="2778" max="2778" width="9.7109375" style="366" customWidth="1"/>
    <col min="2779" max="2779" width="11.7109375" style="366" customWidth="1"/>
    <col min="2780" max="2782" width="10.5703125" style="366" customWidth="1"/>
    <col min="2783" max="2783" width="10" style="366" customWidth="1"/>
    <col min="2784" max="2785" width="9.28515625" style="366"/>
    <col min="2786" max="2786" width="11.42578125" style="366" customWidth="1"/>
    <col min="2787" max="2811" width="6.5703125" style="366" customWidth="1"/>
    <col min="2812" max="2812" width="13.28515625" style="366" customWidth="1"/>
    <col min="2813" max="2813" width="11.5703125" style="366" customWidth="1"/>
    <col min="2814" max="2815" width="13.7109375" style="366" customWidth="1"/>
    <col min="2816" max="2823" width="9.28515625" style="366"/>
    <col min="2824" max="2824" width="10" style="366" bestFit="1" customWidth="1"/>
    <col min="2825" max="2825" width="9.28515625" style="366"/>
    <col min="2826" max="2826" width="10" style="366" bestFit="1" customWidth="1"/>
    <col min="2827" max="2834" width="9.28515625" style="366"/>
    <col min="2835" max="2835" width="11.42578125" style="366" customWidth="1"/>
    <col min="2836" max="2994" width="9.28515625" style="366"/>
    <col min="2995" max="2995" width="4.42578125" style="366" bestFit="1" customWidth="1"/>
    <col min="2996" max="2996" width="41.7109375" style="366" customWidth="1"/>
    <col min="2997" max="2997" width="11.28515625" style="366" customWidth="1"/>
    <col min="2998" max="3001" width="15.42578125" style="366" customWidth="1"/>
    <col min="3002" max="3002" width="12.28515625" style="366" customWidth="1"/>
    <col min="3003" max="3003" width="12.42578125" style="366" customWidth="1"/>
    <col min="3004" max="3004" width="15.5703125" style="366" customWidth="1"/>
    <col min="3005" max="3005" width="14.42578125" style="366" customWidth="1"/>
    <col min="3006" max="3007" width="14.7109375" style="366" customWidth="1"/>
    <col min="3008" max="3008" width="20.7109375" style="366" customWidth="1"/>
    <col min="3009" max="3009" width="20.28515625" style="366" customWidth="1"/>
    <col min="3010" max="3012" width="6.7109375" style="366" customWidth="1"/>
    <col min="3013" max="3013" width="12.7109375" style="366" customWidth="1"/>
    <col min="3014" max="3014" width="10.5703125" style="366" customWidth="1"/>
    <col min="3015" max="3015" width="11.28515625" style="366" customWidth="1"/>
    <col min="3016" max="3017" width="10.5703125" style="366" customWidth="1"/>
    <col min="3018" max="3018" width="13.5703125" style="366" customWidth="1"/>
    <col min="3019" max="3019" width="11.7109375" style="366" customWidth="1"/>
    <col min="3020" max="3020" width="8.5703125" style="366" customWidth="1"/>
    <col min="3021" max="3021" width="10.28515625" style="366" customWidth="1"/>
    <col min="3022" max="3031" width="10.5703125" style="366" customWidth="1"/>
    <col min="3032" max="3033" width="9" style="366" customWidth="1"/>
    <col min="3034" max="3034" width="9.7109375" style="366" customWidth="1"/>
    <col min="3035" max="3035" width="11.7109375" style="366" customWidth="1"/>
    <col min="3036" max="3038" width="10.5703125" style="366" customWidth="1"/>
    <col min="3039" max="3039" width="10" style="366" customWidth="1"/>
    <col min="3040" max="3041" width="9.28515625" style="366"/>
    <col min="3042" max="3042" width="11.42578125" style="366" customWidth="1"/>
    <col min="3043" max="3067" width="6.5703125" style="366" customWidth="1"/>
    <col min="3068" max="3068" width="13.28515625" style="366" customWidth="1"/>
    <col min="3069" max="3069" width="11.5703125" style="366" customWidth="1"/>
    <col min="3070" max="3071" width="13.7109375" style="366" customWidth="1"/>
    <col min="3072" max="3079" width="9.28515625" style="366"/>
    <col min="3080" max="3080" width="10" style="366" bestFit="1" customWidth="1"/>
    <col min="3081" max="3081" width="9.28515625" style="366"/>
    <col min="3082" max="3082" width="10" style="366" bestFit="1" customWidth="1"/>
    <col min="3083" max="3090" width="9.28515625" style="366"/>
    <col min="3091" max="3091" width="11.42578125" style="366" customWidth="1"/>
    <col min="3092" max="3250" width="9.28515625" style="366"/>
    <col min="3251" max="3251" width="4.42578125" style="366" bestFit="1" customWidth="1"/>
    <col min="3252" max="3252" width="41.7109375" style="366" customWidth="1"/>
    <col min="3253" max="3253" width="11.28515625" style="366" customWidth="1"/>
    <col min="3254" max="3257" width="15.42578125" style="366" customWidth="1"/>
    <col min="3258" max="3258" width="12.28515625" style="366" customWidth="1"/>
    <col min="3259" max="3259" width="12.42578125" style="366" customWidth="1"/>
    <col min="3260" max="3260" width="15.5703125" style="366" customWidth="1"/>
    <col min="3261" max="3261" width="14.42578125" style="366" customWidth="1"/>
    <col min="3262" max="3263" width="14.7109375" style="366" customWidth="1"/>
    <col min="3264" max="3264" width="20.7109375" style="366" customWidth="1"/>
    <col min="3265" max="3265" width="20.28515625" style="366" customWidth="1"/>
    <col min="3266" max="3268" width="6.7109375" style="366" customWidth="1"/>
    <col min="3269" max="3269" width="12.7109375" style="366" customWidth="1"/>
    <col min="3270" max="3270" width="10.5703125" style="366" customWidth="1"/>
    <col min="3271" max="3271" width="11.28515625" style="366" customWidth="1"/>
    <col min="3272" max="3273" width="10.5703125" style="366" customWidth="1"/>
    <col min="3274" max="3274" width="13.5703125" style="366" customWidth="1"/>
    <col min="3275" max="3275" width="11.7109375" style="366" customWidth="1"/>
    <col min="3276" max="3276" width="8.5703125" style="366" customWidth="1"/>
    <col min="3277" max="3277" width="10.28515625" style="366" customWidth="1"/>
    <col min="3278" max="3287" width="10.5703125" style="366" customWidth="1"/>
    <col min="3288" max="3289" width="9" style="366" customWidth="1"/>
    <col min="3290" max="3290" width="9.7109375" style="366" customWidth="1"/>
    <col min="3291" max="3291" width="11.7109375" style="366" customWidth="1"/>
    <col min="3292" max="3294" width="10.5703125" style="366" customWidth="1"/>
    <col min="3295" max="3295" width="10" style="366" customWidth="1"/>
    <col min="3296" max="3297" width="9.28515625" style="366"/>
    <col min="3298" max="3298" width="11.42578125" style="366" customWidth="1"/>
    <col min="3299" max="3323" width="6.5703125" style="366" customWidth="1"/>
    <col min="3324" max="3324" width="13.28515625" style="366" customWidth="1"/>
    <col min="3325" max="3325" width="11.5703125" style="366" customWidth="1"/>
    <col min="3326" max="3327" width="13.7109375" style="366" customWidth="1"/>
    <col min="3328" max="3335" width="9.28515625" style="366"/>
    <col min="3336" max="3336" width="10" style="366" bestFit="1" customWidth="1"/>
    <col min="3337" max="3337" width="9.28515625" style="366"/>
    <col min="3338" max="3338" width="10" style="366" bestFit="1" customWidth="1"/>
    <col min="3339" max="3346" width="9.28515625" style="366"/>
    <col min="3347" max="3347" width="11.42578125" style="366" customWidth="1"/>
    <col min="3348" max="3506" width="9.28515625" style="366"/>
    <col min="3507" max="3507" width="4.42578125" style="366" bestFit="1" customWidth="1"/>
    <col min="3508" max="3508" width="41.7109375" style="366" customWidth="1"/>
    <col min="3509" max="3509" width="11.28515625" style="366" customWidth="1"/>
    <col min="3510" max="3513" width="15.42578125" style="366" customWidth="1"/>
    <col min="3514" max="3514" width="12.28515625" style="366" customWidth="1"/>
    <col min="3515" max="3515" width="12.42578125" style="366" customWidth="1"/>
    <col min="3516" max="3516" width="15.5703125" style="366" customWidth="1"/>
    <col min="3517" max="3517" width="14.42578125" style="366" customWidth="1"/>
    <col min="3518" max="3519" width="14.7109375" style="366" customWidth="1"/>
    <col min="3520" max="3520" width="20.7109375" style="366" customWidth="1"/>
    <col min="3521" max="3521" width="20.28515625" style="366" customWidth="1"/>
    <col min="3522" max="3524" width="6.7109375" style="366" customWidth="1"/>
    <col min="3525" max="3525" width="12.7109375" style="366" customWidth="1"/>
    <col min="3526" max="3526" width="10.5703125" style="366" customWidth="1"/>
    <col min="3527" max="3527" width="11.28515625" style="366" customWidth="1"/>
    <col min="3528" max="3529" width="10.5703125" style="366" customWidth="1"/>
    <col min="3530" max="3530" width="13.5703125" style="366" customWidth="1"/>
    <col min="3531" max="3531" width="11.7109375" style="366" customWidth="1"/>
    <col min="3532" max="3532" width="8.5703125" style="366" customWidth="1"/>
    <col min="3533" max="3533" width="10.28515625" style="366" customWidth="1"/>
    <col min="3534" max="3543" width="10.5703125" style="366" customWidth="1"/>
    <col min="3544" max="3545" width="9" style="366" customWidth="1"/>
    <col min="3546" max="3546" width="9.7109375" style="366" customWidth="1"/>
    <col min="3547" max="3547" width="11.7109375" style="366" customWidth="1"/>
    <col min="3548" max="3550" width="10.5703125" style="366" customWidth="1"/>
    <col min="3551" max="3551" width="10" style="366" customWidth="1"/>
    <col min="3552" max="3553" width="9.28515625" style="366"/>
    <col min="3554" max="3554" width="11.42578125" style="366" customWidth="1"/>
    <col min="3555" max="3579" width="6.5703125" style="366" customWidth="1"/>
    <col min="3580" max="3580" width="13.28515625" style="366" customWidth="1"/>
    <col min="3581" max="3581" width="11.5703125" style="366" customWidth="1"/>
    <col min="3582" max="3583" width="13.7109375" style="366" customWidth="1"/>
    <col min="3584" max="3591" width="9.28515625" style="366"/>
    <col min="3592" max="3592" width="10" style="366" bestFit="1" customWidth="1"/>
    <col min="3593" max="3593" width="9.28515625" style="366"/>
    <col min="3594" max="3594" width="10" style="366" bestFit="1" customWidth="1"/>
    <col min="3595" max="3602" width="9.28515625" style="366"/>
    <col min="3603" max="3603" width="11.42578125" style="366" customWidth="1"/>
    <col min="3604" max="3762" width="9.28515625" style="366"/>
    <col min="3763" max="3763" width="4.42578125" style="366" bestFit="1" customWidth="1"/>
    <col min="3764" max="3764" width="41.7109375" style="366" customWidth="1"/>
    <col min="3765" max="3765" width="11.28515625" style="366" customWidth="1"/>
    <col min="3766" max="3769" width="15.42578125" style="366" customWidth="1"/>
    <col min="3770" max="3770" width="12.28515625" style="366" customWidth="1"/>
    <col min="3771" max="3771" width="12.42578125" style="366" customWidth="1"/>
    <col min="3772" max="3772" width="15.5703125" style="366" customWidth="1"/>
    <col min="3773" max="3773" width="14.42578125" style="366" customWidth="1"/>
    <col min="3774" max="3775" width="14.7109375" style="366" customWidth="1"/>
    <col min="3776" max="3776" width="20.7109375" style="366" customWidth="1"/>
    <col min="3777" max="3777" width="20.28515625" style="366" customWidth="1"/>
    <col min="3778" max="3780" width="6.7109375" style="366" customWidth="1"/>
    <col min="3781" max="3781" width="12.7109375" style="366" customWidth="1"/>
    <col min="3782" max="3782" width="10.5703125" style="366" customWidth="1"/>
    <col min="3783" max="3783" width="11.28515625" style="366" customWidth="1"/>
    <col min="3784" max="3785" width="10.5703125" style="366" customWidth="1"/>
    <col min="3786" max="3786" width="13.5703125" style="366" customWidth="1"/>
    <col min="3787" max="3787" width="11.7109375" style="366" customWidth="1"/>
    <col min="3788" max="3788" width="8.5703125" style="366" customWidth="1"/>
    <col min="3789" max="3789" width="10.28515625" style="366" customWidth="1"/>
    <col min="3790" max="3799" width="10.5703125" style="366" customWidth="1"/>
    <col min="3800" max="3801" width="9" style="366" customWidth="1"/>
    <col min="3802" max="3802" width="9.7109375" style="366" customWidth="1"/>
    <col min="3803" max="3803" width="11.7109375" style="366" customWidth="1"/>
    <col min="3804" max="3806" width="10.5703125" style="366" customWidth="1"/>
    <col min="3807" max="3807" width="10" style="366" customWidth="1"/>
    <col min="3808" max="3809" width="9.28515625" style="366"/>
    <col min="3810" max="3810" width="11.42578125" style="366" customWidth="1"/>
    <col min="3811" max="3835" width="6.5703125" style="366" customWidth="1"/>
    <col min="3836" max="3836" width="13.28515625" style="366" customWidth="1"/>
    <col min="3837" max="3837" width="11.5703125" style="366" customWidth="1"/>
    <col min="3838" max="3839" width="13.7109375" style="366" customWidth="1"/>
    <col min="3840" max="3847" width="9.28515625" style="366"/>
    <col min="3848" max="3848" width="10" style="366" bestFit="1" customWidth="1"/>
    <col min="3849" max="3849" width="9.28515625" style="366"/>
    <col min="3850" max="3850" width="10" style="366" bestFit="1" customWidth="1"/>
    <col min="3851" max="3858" width="9.28515625" style="366"/>
    <col min="3859" max="3859" width="11.42578125" style="366" customWidth="1"/>
    <col min="3860" max="4018" width="9.28515625" style="366"/>
    <col min="4019" max="4019" width="4.42578125" style="366" bestFit="1" customWidth="1"/>
    <col min="4020" max="4020" width="41.7109375" style="366" customWidth="1"/>
    <col min="4021" max="4021" width="11.28515625" style="366" customWidth="1"/>
    <col min="4022" max="4025" width="15.42578125" style="366" customWidth="1"/>
    <col min="4026" max="4026" width="12.28515625" style="366" customWidth="1"/>
    <col min="4027" max="4027" width="12.42578125" style="366" customWidth="1"/>
    <col min="4028" max="4028" width="15.5703125" style="366" customWidth="1"/>
    <col min="4029" max="4029" width="14.42578125" style="366" customWidth="1"/>
    <col min="4030" max="4031" width="14.7109375" style="366" customWidth="1"/>
    <col min="4032" max="4032" width="20.7109375" style="366" customWidth="1"/>
    <col min="4033" max="4033" width="20.28515625" style="366" customWidth="1"/>
    <col min="4034" max="4036" width="6.7109375" style="366" customWidth="1"/>
    <col min="4037" max="4037" width="12.7109375" style="366" customWidth="1"/>
    <col min="4038" max="4038" width="10.5703125" style="366" customWidth="1"/>
    <col min="4039" max="4039" width="11.28515625" style="366" customWidth="1"/>
    <col min="4040" max="4041" width="10.5703125" style="366" customWidth="1"/>
    <col min="4042" max="4042" width="13.5703125" style="366" customWidth="1"/>
    <col min="4043" max="4043" width="11.7109375" style="366" customWidth="1"/>
    <col min="4044" max="4044" width="8.5703125" style="366" customWidth="1"/>
    <col min="4045" max="4045" width="10.28515625" style="366" customWidth="1"/>
    <col min="4046" max="4055" width="10.5703125" style="366" customWidth="1"/>
    <col min="4056" max="4057" width="9" style="366" customWidth="1"/>
    <col min="4058" max="4058" width="9.7109375" style="366" customWidth="1"/>
    <col min="4059" max="4059" width="11.7109375" style="366" customWidth="1"/>
    <col min="4060" max="4062" width="10.5703125" style="366" customWidth="1"/>
    <col min="4063" max="4063" width="10" style="366" customWidth="1"/>
    <col min="4064" max="4065" width="9.28515625" style="366"/>
    <col min="4066" max="4066" width="11.42578125" style="366" customWidth="1"/>
    <col min="4067" max="4091" width="6.5703125" style="366" customWidth="1"/>
    <col min="4092" max="4092" width="13.28515625" style="366" customWidth="1"/>
    <col min="4093" max="4093" width="11.5703125" style="366" customWidth="1"/>
    <col min="4094" max="4095" width="13.7109375" style="366" customWidth="1"/>
    <col min="4096" max="4103" width="9.28515625" style="366"/>
    <col min="4104" max="4104" width="10" style="366" bestFit="1" customWidth="1"/>
    <col min="4105" max="4105" width="9.28515625" style="366"/>
    <col min="4106" max="4106" width="10" style="366" bestFit="1" customWidth="1"/>
    <col min="4107" max="4114" width="9.28515625" style="366"/>
    <col min="4115" max="4115" width="11.42578125" style="366" customWidth="1"/>
    <col min="4116" max="4274" width="9.28515625" style="366"/>
    <col min="4275" max="4275" width="4.42578125" style="366" bestFit="1" customWidth="1"/>
    <col min="4276" max="4276" width="41.7109375" style="366" customWidth="1"/>
    <col min="4277" max="4277" width="11.28515625" style="366" customWidth="1"/>
    <col min="4278" max="4281" width="15.42578125" style="366" customWidth="1"/>
    <col min="4282" max="4282" width="12.28515625" style="366" customWidth="1"/>
    <col min="4283" max="4283" width="12.42578125" style="366" customWidth="1"/>
    <col min="4284" max="4284" width="15.5703125" style="366" customWidth="1"/>
    <col min="4285" max="4285" width="14.42578125" style="366" customWidth="1"/>
    <col min="4286" max="4287" width="14.7109375" style="366" customWidth="1"/>
    <col min="4288" max="4288" width="20.7109375" style="366" customWidth="1"/>
    <col min="4289" max="4289" width="20.28515625" style="366" customWidth="1"/>
    <col min="4290" max="4292" width="6.7109375" style="366" customWidth="1"/>
    <col min="4293" max="4293" width="12.7109375" style="366" customWidth="1"/>
    <col min="4294" max="4294" width="10.5703125" style="366" customWidth="1"/>
    <col min="4295" max="4295" width="11.28515625" style="366" customWidth="1"/>
    <col min="4296" max="4297" width="10.5703125" style="366" customWidth="1"/>
    <col min="4298" max="4298" width="13.5703125" style="366" customWidth="1"/>
    <col min="4299" max="4299" width="11.7109375" style="366" customWidth="1"/>
    <col min="4300" max="4300" width="8.5703125" style="366" customWidth="1"/>
    <col min="4301" max="4301" width="10.28515625" style="366" customWidth="1"/>
    <col min="4302" max="4311" width="10.5703125" style="366" customWidth="1"/>
    <col min="4312" max="4313" width="9" style="366" customWidth="1"/>
    <col min="4314" max="4314" width="9.7109375" style="366" customWidth="1"/>
    <col min="4315" max="4315" width="11.7109375" style="366" customWidth="1"/>
    <col min="4316" max="4318" width="10.5703125" style="366" customWidth="1"/>
    <col min="4319" max="4319" width="10" style="366" customWidth="1"/>
    <col min="4320" max="4321" width="9.28515625" style="366"/>
    <col min="4322" max="4322" width="11.42578125" style="366" customWidth="1"/>
    <col min="4323" max="4347" width="6.5703125" style="366" customWidth="1"/>
    <col min="4348" max="4348" width="13.28515625" style="366" customWidth="1"/>
    <col min="4349" max="4349" width="11.5703125" style="366" customWidth="1"/>
    <col min="4350" max="4351" width="13.7109375" style="366" customWidth="1"/>
    <col min="4352" max="4359" width="9.28515625" style="366"/>
    <col min="4360" max="4360" width="10" style="366" bestFit="1" customWidth="1"/>
    <col min="4361" max="4361" width="9.28515625" style="366"/>
    <col min="4362" max="4362" width="10" style="366" bestFit="1" customWidth="1"/>
    <col min="4363" max="4370" width="9.28515625" style="366"/>
    <col min="4371" max="4371" width="11.42578125" style="366" customWidth="1"/>
    <col min="4372" max="4530" width="9.28515625" style="366"/>
    <col min="4531" max="4531" width="4.42578125" style="366" bestFit="1" customWidth="1"/>
    <col min="4532" max="4532" width="41.7109375" style="366" customWidth="1"/>
    <col min="4533" max="4533" width="11.28515625" style="366" customWidth="1"/>
    <col min="4534" max="4537" width="15.42578125" style="366" customWidth="1"/>
    <col min="4538" max="4538" width="12.28515625" style="366" customWidth="1"/>
    <col min="4539" max="4539" width="12.42578125" style="366" customWidth="1"/>
    <col min="4540" max="4540" width="15.5703125" style="366" customWidth="1"/>
    <col min="4541" max="4541" width="14.42578125" style="366" customWidth="1"/>
    <col min="4542" max="4543" width="14.7109375" style="366" customWidth="1"/>
    <col min="4544" max="4544" width="20.7109375" style="366" customWidth="1"/>
    <col min="4545" max="4545" width="20.28515625" style="366" customWidth="1"/>
    <col min="4546" max="4548" width="6.7109375" style="366" customWidth="1"/>
    <col min="4549" max="4549" width="12.7109375" style="366" customWidth="1"/>
    <col min="4550" max="4550" width="10.5703125" style="366" customWidth="1"/>
    <col min="4551" max="4551" width="11.28515625" style="366" customWidth="1"/>
    <col min="4552" max="4553" width="10.5703125" style="366" customWidth="1"/>
    <col min="4554" max="4554" width="13.5703125" style="366" customWidth="1"/>
    <col min="4555" max="4555" width="11.7109375" style="366" customWidth="1"/>
    <col min="4556" max="4556" width="8.5703125" style="366" customWidth="1"/>
    <col min="4557" max="4557" width="10.28515625" style="366" customWidth="1"/>
    <col min="4558" max="4567" width="10.5703125" style="366" customWidth="1"/>
    <col min="4568" max="4569" width="9" style="366" customWidth="1"/>
    <col min="4570" max="4570" width="9.7109375" style="366" customWidth="1"/>
    <col min="4571" max="4571" width="11.7109375" style="366" customWidth="1"/>
    <col min="4572" max="4574" width="10.5703125" style="366" customWidth="1"/>
    <col min="4575" max="4575" width="10" style="366" customWidth="1"/>
    <col min="4576" max="4577" width="9.28515625" style="366"/>
    <col min="4578" max="4578" width="11.42578125" style="366" customWidth="1"/>
    <col min="4579" max="4603" width="6.5703125" style="366" customWidth="1"/>
    <col min="4604" max="4604" width="13.28515625" style="366" customWidth="1"/>
    <col min="4605" max="4605" width="11.5703125" style="366" customWidth="1"/>
    <col min="4606" max="4607" width="13.7109375" style="366" customWidth="1"/>
    <col min="4608" max="4615" width="9.28515625" style="366"/>
    <col min="4616" max="4616" width="10" style="366" bestFit="1" customWidth="1"/>
    <col min="4617" max="4617" width="9.28515625" style="366"/>
    <col min="4618" max="4618" width="10" style="366" bestFit="1" customWidth="1"/>
    <col min="4619" max="4626" width="9.28515625" style="366"/>
    <col min="4627" max="4627" width="11.42578125" style="366" customWidth="1"/>
    <col min="4628" max="4786" width="9.28515625" style="366"/>
    <col min="4787" max="4787" width="4.42578125" style="366" bestFit="1" customWidth="1"/>
    <col min="4788" max="4788" width="41.7109375" style="366" customWidth="1"/>
    <col min="4789" max="4789" width="11.28515625" style="366" customWidth="1"/>
    <col min="4790" max="4793" width="15.42578125" style="366" customWidth="1"/>
    <col min="4794" max="4794" width="12.28515625" style="366" customWidth="1"/>
    <col min="4795" max="4795" width="12.42578125" style="366" customWidth="1"/>
    <col min="4796" max="4796" width="15.5703125" style="366" customWidth="1"/>
    <col min="4797" max="4797" width="14.42578125" style="366" customWidth="1"/>
    <col min="4798" max="4799" width="14.7109375" style="366" customWidth="1"/>
    <col min="4800" max="4800" width="20.7109375" style="366" customWidth="1"/>
    <col min="4801" max="4801" width="20.28515625" style="366" customWidth="1"/>
    <col min="4802" max="4804" width="6.7109375" style="366" customWidth="1"/>
    <col min="4805" max="4805" width="12.7109375" style="366" customWidth="1"/>
    <col min="4806" max="4806" width="10.5703125" style="366" customWidth="1"/>
    <col min="4807" max="4807" width="11.28515625" style="366" customWidth="1"/>
    <col min="4808" max="4809" width="10.5703125" style="366" customWidth="1"/>
    <col min="4810" max="4810" width="13.5703125" style="366" customWidth="1"/>
    <col min="4811" max="4811" width="11.7109375" style="366" customWidth="1"/>
    <col min="4812" max="4812" width="8.5703125" style="366" customWidth="1"/>
    <col min="4813" max="4813" width="10.28515625" style="366" customWidth="1"/>
    <col min="4814" max="4823" width="10.5703125" style="366" customWidth="1"/>
    <col min="4824" max="4825" width="9" style="366" customWidth="1"/>
    <col min="4826" max="4826" width="9.7109375" style="366" customWidth="1"/>
    <col min="4827" max="4827" width="11.7109375" style="366" customWidth="1"/>
    <col min="4828" max="4830" width="10.5703125" style="366" customWidth="1"/>
    <col min="4831" max="4831" width="10" style="366" customWidth="1"/>
    <col min="4832" max="4833" width="9.28515625" style="366"/>
    <col min="4834" max="4834" width="11.42578125" style="366" customWidth="1"/>
    <col min="4835" max="4859" width="6.5703125" style="366" customWidth="1"/>
    <col min="4860" max="4860" width="13.28515625" style="366" customWidth="1"/>
    <col min="4861" max="4861" width="11.5703125" style="366" customWidth="1"/>
    <col min="4862" max="4863" width="13.7109375" style="366" customWidth="1"/>
    <col min="4864" max="4871" width="9.28515625" style="366"/>
    <col min="4872" max="4872" width="10" style="366" bestFit="1" customWidth="1"/>
    <col min="4873" max="4873" width="9.28515625" style="366"/>
    <col min="4874" max="4874" width="10" style="366" bestFit="1" customWidth="1"/>
    <col min="4875" max="4882" width="9.28515625" style="366"/>
    <col min="4883" max="4883" width="11.42578125" style="366" customWidth="1"/>
    <col min="4884" max="5042" width="9.28515625" style="366"/>
    <col min="5043" max="5043" width="4.42578125" style="366" bestFit="1" customWidth="1"/>
    <col min="5044" max="5044" width="41.7109375" style="366" customWidth="1"/>
    <col min="5045" max="5045" width="11.28515625" style="366" customWidth="1"/>
    <col min="5046" max="5049" width="15.42578125" style="366" customWidth="1"/>
    <col min="5050" max="5050" width="12.28515625" style="366" customWidth="1"/>
    <col min="5051" max="5051" width="12.42578125" style="366" customWidth="1"/>
    <col min="5052" max="5052" width="15.5703125" style="366" customWidth="1"/>
    <col min="5053" max="5053" width="14.42578125" style="366" customWidth="1"/>
    <col min="5054" max="5055" width="14.7109375" style="366" customWidth="1"/>
    <col min="5056" max="5056" width="20.7109375" style="366" customWidth="1"/>
    <col min="5057" max="5057" width="20.28515625" style="366" customWidth="1"/>
    <col min="5058" max="5060" width="6.7109375" style="366" customWidth="1"/>
    <col min="5061" max="5061" width="12.7109375" style="366" customWidth="1"/>
    <col min="5062" max="5062" width="10.5703125" style="366" customWidth="1"/>
    <col min="5063" max="5063" width="11.28515625" style="366" customWidth="1"/>
    <col min="5064" max="5065" width="10.5703125" style="366" customWidth="1"/>
    <col min="5066" max="5066" width="13.5703125" style="366" customWidth="1"/>
    <col min="5067" max="5067" width="11.7109375" style="366" customWidth="1"/>
    <col min="5068" max="5068" width="8.5703125" style="366" customWidth="1"/>
    <col min="5069" max="5069" width="10.28515625" style="366" customWidth="1"/>
    <col min="5070" max="5079" width="10.5703125" style="366" customWidth="1"/>
    <col min="5080" max="5081" width="9" style="366" customWidth="1"/>
    <col min="5082" max="5082" width="9.7109375" style="366" customWidth="1"/>
    <col min="5083" max="5083" width="11.7109375" style="366" customWidth="1"/>
    <col min="5084" max="5086" width="10.5703125" style="366" customWidth="1"/>
    <col min="5087" max="5087" width="10" style="366" customWidth="1"/>
    <col min="5088" max="5089" width="9.28515625" style="366"/>
    <col min="5090" max="5090" width="11.42578125" style="366" customWidth="1"/>
    <col min="5091" max="5115" width="6.5703125" style="366" customWidth="1"/>
    <col min="5116" max="5116" width="13.28515625" style="366" customWidth="1"/>
    <col min="5117" max="5117" width="11.5703125" style="366" customWidth="1"/>
    <col min="5118" max="5119" width="13.7109375" style="366" customWidth="1"/>
    <col min="5120" max="5127" width="9.28515625" style="366"/>
    <col min="5128" max="5128" width="10" style="366" bestFit="1" customWidth="1"/>
    <col min="5129" max="5129" width="9.28515625" style="366"/>
    <col min="5130" max="5130" width="10" style="366" bestFit="1" customWidth="1"/>
    <col min="5131" max="5138" width="9.28515625" style="366"/>
    <col min="5139" max="5139" width="11.42578125" style="366" customWidth="1"/>
    <col min="5140" max="5298" width="9.28515625" style="366"/>
    <col min="5299" max="5299" width="4.42578125" style="366" bestFit="1" customWidth="1"/>
    <col min="5300" max="5300" width="41.7109375" style="366" customWidth="1"/>
    <col min="5301" max="5301" width="11.28515625" style="366" customWidth="1"/>
    <col min="5302" max="5305" width="15.42578125" style="366" customWidth="1"/>
    <col min="5306" max="5306" width="12.28515625" style="366" customWidth="1"/>
    <col min="5307" max="5307" width="12.42578125" style="366" customWidth="1"/>
    <col min="5308" max="5308" width="15.5703125" style="366" customWidth="1"/>
    <col min="5309" max="5309" width="14.42578125" style="366" customWidth="1"/>
    <col min="5310" max="5311" width="14.7109375" style="366" customWidth="1"/>
    <col min="5312" max="5312" width="20.7109375" style="366" customWidth="1"/>
    <col min="5313" max="5313" width="20.28515625" style="366" customWidth="1"/>
    <col min="5314" max="5316" width="6.7109375" style="366" customWidth="1"/>
    <col min="5317" max="5317" width="12.7109375" style="366" customWidth="1"/>
    <col min="5318" max="5318" width="10.5703125" style="366" customWidth="1"/>
    <col min="5319" max="5319" width="11.28515625" style="366" customWidth="1"/>
    <col min="5320" max="5321" width="10.5703125" style="366" customWidth="1"/>
    <col min="5322" max="5322" width="13.5703125" style="366" customWidth="1"/>
    <col min="5323" max="5323" width="11.7109375" style="366" customWidth="1"/>
    <col min="5324" max="5324" width="8.5703125" style="366" customWidth="1"/>
    <col min="5325" max="5325" width="10.28515625" style="366" customWidth="1"/>
    <col min="5326" max="5335" width="10.5703125" style="366" customWidth="1"/>
    <col min="5336" max="5337" width="9" style="366" customWidth="1"/>
    <col min="5338" max="5338" width="9.7109375" style="366" customWidth="1"/>
    <col min="5339" max="5339" width="11.7109375" style="366" customWidth="1"/>
    <col min="5340" max="5342" width="10.5703125" style="366" customWidth="1"/>
    <col min="5343" max="5343" width="10" style="366" customWidth="1"/>
    <col min="5344" max="5345" width="9.28515625" style="366"/>
    <col min="5346" max="5346" width="11.42578125" style="366" customWidth="1"/>
    <col min="5347" max="5371" width="6.5703125" style="366" customWidth="1"/>
    <col min="5372" max="5372" width="13.28515625" style="366" customWidth="1"/>
    <col min="5373" max="5373" width="11.5703125" style="366" customWidth="1"/>
    <col min="5374" max="5375" width="13.7109375" style="366" customWidth="1"/>
    <col min="5376" max="5383" width="9.28515625" style="366"/>
    <col min="5384" max="5384" width="10" style="366" bestFit="1" customWidth="1"/>
    <col min="5385" max="5385" width="9.28515625" style="366"/>
    <col min="5386" max="5386" width="10" style="366" bestFit="1" customWidth="1"/>
    <col min="5387" max="5394" width="9.28515625" style="366"/>
    <col min="5395" max="5395" width="11.42578125" style="366" customWidth="1"/>
    <col min="5396" max="5554" width="9.28515625" style="366"/>
    <col min="5555" max="5555" width="4.42578125" style="366" bestFit="1" customWidth="1"/>
    <col min="5556" max="5556" width="41.7109375" style="366" customWidth="1"/>
    <col min="5557" max="5557" width="11.28515625" style="366" customWidth="1"/>
    <col min="5558" max="5561" width="15.42578125" style="366" customWidth="1"/>
    <col min="5562" max="5562" width="12.28515625" style="366" customWidth="1"/>
    <col min="5563" max="5563" width="12.42578125" style="366" customWidth="1"/>
    <col min="5564" max="5564" width="15.5703125" style="366" customWidth="1"/>
    <col min="5565" max="5565" width="14.42578125" style="366" customWidth="1"/>
    <col min="5566" max="5567" width="14.7109375" style="366" customWidth="1"/>
    <col min="5568" max="5568" width="20.7109375" style="366" customWidth="1"/>
    <col min="5569" max="5569" width="20.28515625" style="366" customWidth="1"/>
    <col min="5570" max="5572" width="6.7109375" style="366" customWidth="1"/>
    <col min="5573" max="5573" width="12.7109375" style="366" customWidth="1"/>
    <col min="5574" max="5574" width="10.5703125" style="366" customWidth="1"/>
    <col min="5575" max="5575" width="11.28515625" style="366" customWidth="1"/>
    <col min="5576" max="5577" width="10.5703125" style="366" customWidth="1"/>
    <col min="5578" max="5578" width="13.5703125" style="366" customWidth="1"/>
    <col min="5579" max="5579" width="11.7109375" style="366" customWidth="1"/>
    <col min="5580" max="5580" width="8.5703125" style="366" customWidth="1"/>
    <col min="5581" max="5581" width="10.28515625" style="366" customWidth="1"/>
    <col min="5582" max="5591" width="10.5703125" style="366" customWidth="1"/>
    <col min="5592" max="5593" width="9" style="366" customWidth="1"/>
    <col min="5594" max="5594" width="9.7109375" style="366" customWidth="1"/>
    <col min="5595" max="5595" width="11.7109375" style="366" customWidth="1"/>
    <col min="5596" max="5598" width="10.5703125" style="366" customWidth="1"/>
    <col min="5599" max="5599" width="10" style="366" customWidth="1"/>
    <col min="5600" max="5601" width="9.28515625" style="366"/>
    <col min="5602" max="5602" width="11.42578125" style="366" customWidth="1"/>
    <col min="5603" max="5627" width="6.5703125" style="366" customWidth="1"/>
    <col min="5628" max="5628" width="13.28515625" style="366" customWidth="1"/>
    <col min="5629" max="5629" width="11.5703125" style="366" customWidth="1"/>
    <col min="5630" max="5631" width="13.7109375" style="366" customWidth="1"/>
    <col min="5632" max="5639" width="9.28515625" style="366"/>
    <col min="5640" max="5640" width="10" style="366" bestFit="1" customWidth="1"/>
    <col min="5641" max="5641" width="9.28515625" style="366"/>
    <col min="5642" max="5642" width="10" style="366" bestFit="1" customWidth="1"/>
    <col min="5643" max="5650" width="9.28515625" style="366"/>
    <col min="5651" max="5651" width="11.42578125" style="366" customWidth="1"/>
    <col min="5652" max="5810" width="9.28515625" style="366"/>
    <col min="5811" max="5811" width="4.42578125" style="366" bestFit="1" customWidth="1"/>
    <col min="5812" max="5812" width="41.7109375" style="366" customWidth="1"/>
    <col min="5813" max="5813" width="11.28515625" style="366" customWidth="1"/>
    <col min="5814" max="5817" width="15.42578125" style="366" customWidth="1"/>
    <col min="5818" max="5818" width="12.28515625" style="366" customWidth="1"/>
    <col min="5819" max="5819" width="12.42578125" style="366" customWidth="1"/>
    <col min="5820" max="5820" width="15.5703125" style="366" customWidth="1"/>
    <col min="5821" max="5821" width="14.42578125" style="366" customWidth="1"/>
    <col min="5822" max="5823" width="14.7109375" style="366" customWidth="1"/>
    <col min="5824" max="5824" width="20.7109375" style="366" customWidth="1"/>
    <col min="5825" max="5825" width="20.28515625" style="366" customWidth="1"/>
    <col min="5826" max="5828" width="6.7109375" style="366" customWidth="1"/>
    <col min="5829" max="5829" width="12.7109375" style="366" customWidth="1"/>
    <col min="5830" max="5830" width="10.5703125" style="366" customWidth="1"/>
    <col min="5831" max="5831" width="11.28515625" style="366" customWidth="1"/>
    <col min="5832" max="5833" width="10.5703125" style="366" customWidth="1"/>
    <col min="5834" max="5834" width="13.5703125" style="366" customWidth="1"/>
    <col min="5835" max="5835" width="11.7109375" style="366" customWidth="1"/>
    <col min="5836" max="5836" width="8.5703125" style="366" customWidth="1"/>
    <col min="5837" max="5837" width="10.28515625" style="366" customWidth="1"/>
    <col min="5838" max="5847" width="10.5703125" style="366" customWidth="1"/>
    <col min="5848" max="5849" width="9" style="366" customWidth="1"/>
    <col min="5850" max="5850" width="9.7109375" style="366" customWidth="1"/>
    <col min="5851" max="5851" width="11.7109375" style="366" customWidth="1"/>
    <col min="5852" max="5854" width="10.5703125" style="366" customWidth="1"/>
    <col min="5855" max="5855" width="10" style="366" customWidth="1"/>
    <col min="5856" max="5857" width="9.28515625" style="366"/>
    <col min="5858" max="5858" width="11.42578125" style="366" customWidth="1"/>
    <col min="5859" max="5883" width="6.5703125" style="366" customWidth="1"/>
    <col min="5884" max="5884" width="13.28515625" style="366" customWidth="1"/>
    <col min="5885" max="5885" width="11.5703125" style="366" customWidth="1"/>
    <col min="5886" max="5887" width="13.7109375" style="366" customWidth="1"/>
    <col min="5888" max="5895" width="9.28515625" style="366"/>
    <col min="5896" max="5896" width="10" style="366" bestFit="1" customWidth="1"/>
    <col min="5897" max="5897" width="9.28515625" style="366"/>
    <col min="5898" max="5898" width="10" style="366" bestFit="1" customWidth="1"/>
    <col min="5899" max="5906" width="9.28515625" style="366"/>
    <col min="5907" max="5907" width="11.42578125" style="366" customWidth="1"/>
    <col min="5908" max="6066" width="9.28515625" style="366"/>
    <col min="6067" max="6067" width="4.42578125" style="366" bestFit="1" customWidth="1"/>
    <col min="6068" max="6068" width="41.7109375" style="366" customWidth="1"/>
    <col min="6069" max="6069" width="11.28515625" style="366" customWidth="1"/>
    <col min="6070" max="6073" width="15.42578125" style="366" customWidth="1"/>
    <col min="6074" max="6074" width="12.28515625" style="366" customWidth="1"/>
    <col min="6075" max="6075" width="12.42578125" style="366" customWidth="1"/>
    <col min="6076" max="6076" width="15.5703125" style="366" customWidth="1"/>
    <col min="6077" max="6077" width="14.42578125" style="366" customWidth="1"/>
    <col min="6078" max="6079" width="14.7109375" style="366" customWidth="1"/>
    <col min="6080" max="6080" width="20.7109375" style="366" customWidth="1"/>
    <col min="6081" max="6081" width="20.28515625" style="366" customWidth="1"/>
    <col min="6082" max="6084" width="6.7109375" style="366" customWidth="1"/>
    <col min="6085" max="6085" width="12.7109375" style="366" customWidth="1"/>
    <col min="6086" max="6086" width="10.5703125" style="366" customWidth="1"/>
    <col min="6087" max="6087" width="11.28515625" style="366" customWidth="1"/>
    <col min="6088" max="6089" width="10.5703125" style="366" customWidth="1"/>
    <col min="6090" max="6090" width="13.5703125" style="366" customWidth="1"/>
    <col min="6091" max="6091" width="11.7109375" style="366" customWidth="1"/>
    <col min="6092" max="6092" width="8.5703125" style="366" customWidth="1"/>
    <col min="6093" max="6093" width="10.28515625" style="366" customWidth="1"/>
    <col min="6094" max="6103" width="10.5703125" style="366" customWidth="1"/>
    <col min="6104" max="6105" width="9" style="366" customWidth="1"/>
    <col min="6106" max="6106" width="9.7109375" style="366" customWidth="1"/>
    <col min="6107" max="6107" width="11.7109375" style="366" customWidth="1"/>
    <col min="6108" max="6110" width="10.5703125" style="366" customWidth="1"/>
    <col min="6111" max="6111" width="10" style="366" customWidth="1"/>
    <col min="6112" max="6113" width="9.28515625" style="366"/>
    <col min="6114" max="6114" width="11.42578125" style="366" customWidth="1"/>
    <col min="6115" max="6139" width="6.5703125" style="366" customWidth="1"/>
    <col min="6140" max="6140" width="13.28515625" style="366" customWidth="1"/>
    <col min="6141" max="6141" width="11.5703125" style="366" customWidth="1"/>
    <col min="6142" max="6143" width="13.7109375" style="366" customWidth="1"/>
    <col min="6144" max="6151" width="9.28515625" style="366"/>
    <col min="6152" max="6152" width="10" style="366" bestFit="1" customWidth="1"/>
    <col min="6153" max="6153" width="9.28515625" style="366"/>
    <col min="6154" max="6154" width="10" style="366" bestFit="1" customWidth="1"/>
    <col min="6155" max="6162" width="9.28515625" style="366"/>
    <col min="6163" max="6163" width="11.42578125" style="366" customWidth="1"/>
    <col min="6164" max="6322" width="9.28515625" style="366"/>
    <col min="6323" max="6323" width="4.42578125" style="366" bestFit="1" customWidth="1"/>
    <col min="6324" max="6324" width="41.7109375" style="366" customWidth="1"/>
    <col min="6325" max="6325" width="11.28515625" style="366" customWidth="1"/>
    <col min="6326" max="6329" width="15.42578125" style="366" customWidth="1"/>
    <col min="6330" max="6330" width="12.28515625" style="366" customWidth="1"/>
    <col min="6331" max="6331" width="12.42578125" style="366" customWidth="1"/>
    <col min="6332" max="6332" width="15.5703125" style="366" customWidth="1"/>
    <col min="6333" max="6333" width="14.42578125" style="366" customWidth="1"/>
    <col min="6334" max="6335" width="14.7109375" style="366" customWidth="1"/>
    <col min="6336" max="6336" width="20.7109375" style="366" customWidth="1"/>
    <col min="6337" max="6337" width="20.28515625" style="366" customWidth="1"/>
    <col min="6338" max="6340" width="6.7109375" style="366" customWidth="1"/>
    <col min="6341" max="6341" width="12.7109375" style="366" customWidth="1"/>
    <col min="6342" max="6342" width="10.5703125" style="366" customWidth="1"/>
    <col min="6343" max="6343" width="11.28515625" style="366" customWidth="1"/>
    <col min="6344" max="6345" width="10.5703125" style="366" customWidth="1"/>
    <col min="6346" max="6346" width="13.5703125" style="366" customWidth="1"/>
    <col min="6347" max="6347" width="11.7109375" style="366" customWidth="1"/>
    <col min="6348" max="6348" width="8.5703125" style="366" customWidth="1"/>
    <col min="6349" max="6349" width="10.28515625" style="366" customWidth="1"/>
    <col min="6350" max="6359" width="10.5703125" style="366" customWidth="1"/>
    <col min="6360" max="6361" width="9" style="366" customWidth="1"/>
    <col min="6362" max="6362" width="9.7109375" style="366" customWidth="1"/>
    <col min="6363" max="6363" width="11.7109375" style="366" customWidth="1"/>
    <col min="6364" max="6366" width="10.5703125" style="366" customWidth="1"/>
    <col min="6367" max="6367" width="10" style="366" customWidth="1"/>
    <col min="6368" max="6369" width="9.28515625" style="366"/>
    <col min="6370" max="6370" width="11.42578125" style="366" customWidth="1"/>
    <col min="6371" max="6395" width="6.5703125" style="366" customWidth="1"/>
    <col min="6396" max="6396" width="13.28515625" style="366" customWidth="1"/>
    <col min="6397" max="6397" width="11.5703125" style="366" customWidth="1"/>
    <col min="6398" max="6399" width="13.7109375" style="366" customWidth="1"/>
    <col min="6400" max="6407" width="9.28515625" style="366"/>
    <col min="6408" max="6408" width="10" style="366" bestFit="1" customWidth="1"/>
    <col min="6409" max="6409" width="9.28515625" style="366"/>
    <col min="6410" max="6410" width="10" style="366" bestFit="1" customWidth="1"/>
    <col min="6411" max="6418" width="9.28515625" style="366"/>
    <col min="6419" max="6419" width="11.42578125" style="366" customWidth="1"/>
    <col min="6420" max="6578" width="9.28515625" style="366"/>
    <col min="6579" max="6579" width="4.42578125" style="366" bestFit="1" customWidth="1"/>
    <col min="6580" max="6580" width="41.7109375" style="366" customWidth="1"/>
    <col min="6581" max="6581" width="11.28515625" style="366" customWidth="1"/>
    <col min="6582" max="6585" width="15.42578125" style="366" customWidth="1"/>
    <col min="6586" max="6586" width="12.28515625" style="366" customWidth="1"/>
    <col min="6587" max="6587" width="12.42578125" style="366" customWidth="1"/>
    <col min="6588" max="6588" width="15.5703125" style="366" customWidth="1"/>
    <col min="6589" max="6589" width="14.42578125" style="366" customWidth="1"/>
    <col min="6590" max="6591" width="14.7109375" style="366" customWidth="1"/>
    <col min="6592" max="6592" width="20.7109375" style="366" customWidth="1"/>
    <col min="6593" max="6593" width="20.28515625" style="366" customWidth="1"/>
    <col min="6594" max="6596" width="6.7109375" style="366" customWidth="1"/>
    <col min="6597" max="6597" width="12.7109375" style="366" customWidth="1"/>
    <col min="6598" max="6598" width="10.5703125" style="366" customWidth="1"/>
    <col min="6599" max="6599" width="11.28515625" style="366" customWidth="1"/>
    <col min="6600" max="6601" width="10.5703125" style="366" customWidth="1"/>
    <col min="6602" max="6602" width="13.5703125" style="366" customWidth="1"/>
    <col min="6603" max="6603" width="11.7109375" style="366" customWidth="1"/>
    <col min="6604" max="6604" width="8.5703125" style="366" customWidth="1"/>
    <col min="6605" max="6605" width="10.28515625" style="366" customWidth="1"/>
    <col min="6606" max="6615" width="10.5703125" style="366" customWidth="1"/>
    <col min="6616" max="6617" width="9" style="366" customWidth="1"/>
    <col min="6618" max="6618" width="9.7109375" style="366" customWidth="1"/>
    <col min="6619" max="6619" width="11.7109375" style="366" customWidth="1"/>
    <col min="6620" max="6622" width="10.5703125" style="366" customWidth="1"/>
    <col min="6623" max="6623" width="10" style="366" customWidth="1"/>
    <col min="6624" max="6625" width="9.28515625" style="366"/>
    <col min="6626" max="6626" width="11.42578125" style="366" customWidth="1"/>
    <col min="6627" max="6651" width="6.5703125" style="366" customWidth="1"/>
    <col min="6652" max="6652" width="13.28515625" style="366" customWidth="1"/>
    <col min="6653" max="6653" width="11.5703125" style="366" customWidth="1"/>
    <col min="6654" max="6655" width="13.7109375" style="366" customWidth="1"/>
    <col min="6656" max="6663" width="9.28515625" style="366"/>
    <col min="6664" max="6664" width="10" style="366" bestFit="1" customWidth="1"/>
    <col min="6665" max="6665" width="9.28515625" style="366"/>
    <col min="6666" max="6666" width="10" style="366" bestFit="1" customWidth="1"/>
    <col min="6667" max="6674" width="9.28515625" style="366"/>
    <col min="6675" max="6675" width="11.42578125" style="366" customWidth="1"/>
    <col min="6676" max="6834" width="9.28515625" style="366"/>
    <col min="6835" max="6835" width="4.42578125" style="366" bestFit="1" customWidth="1"/>
    <col min="6836" max="6836" width="41.7109375" style="366" customWidth="1"/>
    <col min="6837" max="6837" width="11.28515625" style="366" customWidth="1"/>
    <col min="6838" max="6841" width="15.42578125" style="366" customWidth="1"/>
    <col min="6842" max="6842" width="12.28515625" style="366" customWidth="1"/>
    <col min="6843" max="6843" width="12.42578125" style="366" customWidth="1"/>
    <col min="6844" max="6844" width="15.5703125" style="366" customWidth="1"/>
    <col min="6845" max="6845" width="14.42578125" style="366" customWidth="1"/>
    <col min="6846" max="6847" width="14.7109375" style="366" customWidth="1"/>
    <col min="6848" max="6848" width="20.7109375" style="366" customWidth="1"/>
    <col min="6849" max="6849" width="20.28515625" style="366" customWidth="1"/>
    <col min="6850" max="6852" width="6.7109375" style="366" customWidth="1"/>
    <col min="6853" max="6853" width="12.7109375" style="366" customWidth="1"/>
    <col min="6854" max="6854" width="10.5703125" style="366" customWidth="1"/>
    <col min="6855" max="6855" width="11.28515625" style="366" customWidth="1"/>
    <col min="6856" max="6857" width="10.5703125" style="366" customWidth="1"/>
    <col min="6858" max="6858" width="13.5703125" style="366" customWidth="1"/>
    <col min="6859" max="6859" width="11.7109375" style="366" customWidth="1"/>
    <col min="6860" max="6860" width="8.5703125" style="366" customWidth="1"/>
    <col min="6861" max="6861" width="10.28515625" style="366" customWidth="1"/>
    <col min="6862" max="6871" width="10.5703125" style="366" customWidth="1"/>
    <col min="6872" max="6873" width="9" style="366" customWidth="1"/>
    <col min="6874" max="6874" width="9.7109375" style="366" customWidth="1"/>
    <col min="6875" max="6875" width="11.7109375" style="366" customWidth="1"/>
    <col min="6876" max="6878" width="10.5703125" style="366" customWidth="1"/>
    <col min="6879" max="6879" width="10" style="366" customWidth="1"/>
    <col min="6880" max="6881" width="9.28515625" style="366"/>
    <col min="6882" max="6882" width="11.42578125" style="366" customWidth="1"/>
    <col min="6883" max="6907" width="6.5703125" style="366" customWidth="1"/>
    <col min="6908" max="6908" width="13.28515625" style="366" customWidth="1"/>
    <col min="6909" max="6909" width="11.5703125" style="366" customWidth="1"/>
    <col min="6910" max="6911" width="13.7109375" style="366" customWidth="1"/>
    <col min="6912" max="6919" width="9.28515625" style="366"/>
    <col min="6920" max="6920" width="10" style="366" bestFit="1" customWidth="1"/>
    <col min="6921" max="6921" width="9.28515625" style="366"/>
    <col min="6922" max="6922" width="10" style="366" bestFit="1" customWidth="1"/>
    <col min="6923" max="6930" width="9.28515625" style="366"/>
    <col min="6931" max="6931" width="11.42578125" style="366" customWidth="1"/>
    <col min="6932" max="7090" width="9.28515625" style="366"/>
    <col min="7091" max="7091" width="4.42578125" style="366" bestFit="1" customWidth="1"/>
    <col min="7092" max="7092" width="41.7109375" style="366" customWidth="1"/>
    <col min="7093" max="7093" width="11.28515625" style="366" customWidth="1"/>
    <col min="7094" max="7097" width="15.42578125" style="366" customWidth="1"/>
    <col min="7098" max="7098" width="12.28515625" style="366" customWidth="1"/>
    <col min="7099" max="7099" width="12.42578125" style="366" customWidth="1"/>
    <col min="7100" max="7100" width="15.5703125" style="366" customWidth="1"/>
    <col min="7101" max="7101" width="14.42578125" style="366" customWidth="1"/>
    <col min="7102" max="7103" width="14.7109375" style="366" customWidth="1"/>
    <col min="7104" max="7104" width="20.7109375" style="366" customWidth="1"/>
    <col min="7105" max="7105" width="20.28515625" style="366" customWidth="1"/>
    <col min="7106" max="7108" width="6.7109375" style="366" customWidth="1"/>
    <col min="7109" max="7109" width="12.7109375" style="366" customWidth="1"/>
    <col min="7110" max="7110" width="10.5703125" style="366" customWidth="1"/>
    <col min="7111" max="7111" width="11.28515625" style="366" customWidth="1"/>
    <col min="7112" max="7113" width="10.5703125" style="366" customWidth="1"/>
    <col min="7114" max="7114" width="13.5703125" style="366" customWidth="1"/>
    <col min="7115" max="7115" width="11.7109375" style="366" customWidth="1"/>
    <col min="7116" max="7116" width="8.5703125" style="366" customWidth="1"/>
    <col min="7117" max="7117" width="10.28515625" style="366" customWidth="1"/>
    <col min="7118" max="7127" width="10.5703125" style="366" customWidth="1"/>
    <col min="7128" max="7129" width="9" style="366" customWidth="1"/>
    <col min="7130" max="7130" width="9.7109375" style="366" customWidth="1"/>
    <col min="7131" max="7131" width="11.7109375" style="366" customWidth="1"/>
    <col min="7132" max="7134" width="10.5703125" style="366" customWidth="1"/>
    <col min="7135" max="7135" width="10" style="366" customWidth="1"/>
    <col min="7136" max="7137" width="9.28515625" style="366"/>
    <col min="7138" max="7138" width="11.42578125" style="366" customWidth="1"/>
    <col min="7139" max="7163" width="6.5703125" style="366" customWidth="1"/>
    <col min="7164" max="7164" width="13.28515625" style="366" customWidth="1"/>
    <col min="7165" max="7165" width="11.5703125" style="366" customWidth="1"/>
    <col min="7166" max="7167" width="13.7109375" style="366" customWidth="1"/>
    <col min="7168" max="7175" width="9.28515625" style="366"/>
    <col min="7176" max="7176" width="10" style="366" bestFit="1" customWidth="1"/>
    <col min="7177" max="7177" width="9.28515625" style="366"/>
    <col min="7178" max="7178" width="10" style="366" bestFit="1" customWidth="1"/>
    <col min="7179" max="7186" width="9.28515625" style="366"/>
    <col min="7187" max="7187" width="11.42578125" style="366" customWidth="1"/>
    <col min="7188" max="7346" width="9.28515625" style="366"/>
    <col min="7347" max="7347" width="4.42578125" style="366" bestFit="1" customWidth="1"/>
    <col min="7348" max="7348" width="41.7109375" style="366" customWidth="1"/>
    <col min="7349" max="7349" width="11.28515625" style="366" customWidth="1"/>
    <col min="7350" max="7353" width="15.42578125" style="366" customWidth="1"/>
    <col min="7354" max="7354" width="12.28515625" style="366" customWidth="1"/>
    <col min="7355" max="7355" width="12.42578125" style="366" customWidth="1"/>
    <col min="7356" max="7356" width="15.5703125" style="366" customWidth="1"/>
    <col min="7357" max="7357" width="14.42578125" style="366" customWidth="1"/>
    <col min="7358" max="7359" width="14.7109375" style="366" customWidth="1"/>
    <col min="7360" max="7360" width="20.7109375" style="366" customWidth="1"/>
    <col min="7361" max="7361" width="20.28515625" style="366" customWidth="1"/>
    <col min="7362" max="7364" width="6.7109375" style="366" customWidth="1"/>
    <col min="7365" max="7365" width="12.7109375" style="366" customWidth="1"/>
    <col min="7366" max="7366" width="10.5703125" style="366" customWidth="1"/>
    <col min="7367" max="7367" width="11.28515625" style="366" customWidth="1"/>
    <col min="7368" max="7369" width="10.5703125" style="366" customWidth="1"/>
    <col min="7370" max="7370" width="13.5703125" style="366" customWidth="1"/>
    <col min="7371" max="7371" width="11.7109375" style="366" customWidth="1"/>
    <col min="7372" max="7372" width="8.5703125" style="366" customWidth="1"/>
    <col min="7373" max="7373" width="10.28515625" style="366" customWidth="1"/>
    <col min="7374" max="7383" width="10.5703125" style="366" customWidth="1"/>
    <col min="7384" max="7385" width="9" style="366" customWidth="1"/>
    <col min="7386" max="7386" width="9.7109375" style="366" customWidth="1"/>
    <col min="7387" max="7387" width="11.7109375" style="366" customWidth="1"/>
    <col min="7388" max="7390" width="10.5703125" style="366" customWidth="1"/>
    <col min="7391" max="7391" width="10" style="366" customWidth="1"/>
    <col min="7392" max="7393" width="9.28515625" style="366"/>
    <col min="7394" max="7394" width="11.42578125" style="366" customWidth="1"/>
    <col min="7395" max="7419" width="6.5703125" style="366" customWidth="1"/>
    <col min="7420" max="7420" width="13.28515625" style="366" customWidth="1"/>
    <col min="7421" max="7421" width="11.5703125" style="366" customWidth="1"/>
    <col min="7422" max="7423" width="13.7109375" style="366" customWidth="1"/>
    <col min="7424" max="7431" width="9.28515625" style="366"/>
    <col min="7432" max="7432" width="10" style="366" bestFit="1" customWidth="1"/>
    <col min="7433" max="7433" width="9.28515625" style="366"/>
    <col min="7434" max="7434" width="10" style="366" bestFit="1" customWidth="1"/>
    <col min="7435" max="7442" width="9.28515625" style="366"/>
    <col min="7443" max="7443" width="11.42578125" style="366" customWidth="1"/>
    <col min="7444" max="7602" width="9.28515625" style="366"/>
    <col min="7603" max="7603" width="4.42578125" style="366" bestFit="1" customWidth="1"/>
    <col min="7604" max="7604" width="41.7109375" style="366" customWidth="1"/>
    <col min="7605" max="7605" width="11.28515625" style="366" customWidth="1"/>
    <col min="7606" max="7609" width="15.42578125" style="366" customWidth="1"/>
    <col min="7610" max="7610" width="12.28515625" style="366" customWidth="1"/>
    <col min="7611" max="7611" width="12.42578125" style="366" customWidth="1"/>
    <col min="7612" max="7612" width="15.5703125" style="366" customWidth="1"/>
    <col min="7613" max="7613" width="14.42578125" style="366" customWidth="1"/>
    <col min="7614" max="7615" width="14.7109375" style="366" customWidth="1"/>
    <col min="7616" max="7616" width="20.7109375" style="366" customWidth="1"/>
    <col min="7617" max="7617" width="20.28515625" style="366" customWidth="1"/>
    <col min="7618" max="7620" width="6.7109375" style="366" customWidth="1"/>
    <col min="7621" max="7621" width="12.7109375" style="366" customWidth="1"/>
    <col min="7622" max="7622" width="10.5703125" style="366" customWidth="1"/>
    <col min="7623" max="7623" width="11.28515625" style="366" customWidth="1"/>
    <col min="7624" max="7625" width="10.5703125" style="366" customWidth="1"/>
    <col min="7626" max="7626" width="13.5703125" style="366" customWidth="1"/>
    <col min="7627" max="7627" width="11.7109375" style="366" customWidth="1"/>
    <col min="7628" max="7628" width="8.5703125" style="366" customWidth="1"/>
    <col min="7629" max="7629" width="10.28515625" style="366" customWidth="1"/>
    <col min="7630" max="7639" width="10.5703125" style="366" customWidth="1"/>
    <col min="7640" max="7641" width="9" style="366" customWidth="1"/>
    <col min="7642" max="7642" width="9.7109375" style="366" customWidth="1"/>
    <col min="7643" max="7643" width="11.7109375" style="366" customWidth="1"/>
    <col min="7644" max="7646" width="10.5703125" style="366" customWidth="1"/>
    <col min="7647" max="7647" width="10" style="366" customWidth="1"/>
    <col min="7648" max="7649" width="9.28515625" style="366"/>
    <col min="7650" max="7650" width="11.42578125" style="366" customWidth="1"/>
    <col min="7651" max="7675" width="6.5703125" style="366" customWidth="1"/>
    <col min="7676" max="7676" width="13.28515625" style="366" customWidth="1"/>
    <col min="7677" max="7677" width="11.5703125" style="366" customWidth="1"/>
    <col min="7678" max="7679" width="13.7109375" style="366" customWidth="1"/>
    <col min="7680" max="7687" width="9.28515625" style="366"/>
    <col min="7688" max="7688" width="10" style="366" bestFit="1" customWidth="1"/>
    <col min="7689" max="7689" width="9.28515625" style="366"/>
    <col min="7690" max="7690" width="10" style="366" bestFit="1" customWidth="1"/>
    <col min="7691" max="7698" width="9.28515625" style="366"/>
    <col min="7699" max="7699" width="11.42578125" style="366" customWidth="1"/>
    <col min="7700" max="7858" width="9.28515625" style="366"/>
    <col min="7859" max="7859" width="4.42578125" style="366" bestFit="1" customWidth="1"/>
    <col min="7860" max="7860" width="41.7109375" style="366" customWidth="1"/>
    <col min="7861" max="7861" width="11.28515625" style="366" customWidth="1"/>
    <col min="7862" max="7865" width="15.42578125" style="366" customWidth="1"/>
    <col min="7866" max="7866" width="12.28515625" style="366" customWidth="1"/>
    <col min="7867" max="7867" width="12.42578125" style="366" customWidth="1"/>
    <col min="7868" max="7868" width="15.5703125" style="366" customWidth="1"/>
    <col min="7869" max="7869" width="14.42578125" style="366" customWidth="1"/>
    <col min="7870" max="7871" width="14.7109375" style="366" customWidth="1"/>
    <col min="7872" max="7872" width="20.7109375" style="366" customWidth="1"/>
    <col min="7873" max="7873" width="20.28515625" style="366" customWidth="1"/>
    <col min="7874" max="7876" width="6.7109375" style="366" customWidth="1"/>
    <col min="7877" max="7877" width="12.7109375" style="366" customWidth="1"/>
    <col min="7878" max="7878" width="10.5703125" style="366" customWidth="1"/>
    <col min="7879" max="7879" width="11.28515625" style="366" customWidth="1"/>
    <col min="7880" max="7881" width="10.5703125" style="366" customWidth="1"/>
    <col min="7882" max="7882" width="13.5703125" style="366" customWidth="1"/>
    <col min="7883" max="7883" width="11.7109375" style="366" customWidth="1"/>
    <col min="7884" max="7884" width="8.5703125" style="366" customWidth="1"/>
    <col min="7885" max="7885" width="10.28515625" style="366" customWidth="1"/>
    <col min="7886" max="7895" width="10.5703125" style="366" customWidth="1"/>
    <col min="7896" max="7897" width="9" style="366" customWidth="1"/>
    <col min="7898" max="7898" width="9.7109375" style="366" customWidth="1"/>
    <col min="7899" max="7899" width="11.7109375" style="366" customWidth="1"/>
    <col min="7900" max="7902" width="10.5703125" style="366" customWidth="1"/>
    <col min="7903" max="7903" width="10" style="366" customWidth="1"/>
    <col min="7904" max="7905" width="9.28515625" style="366"/>
    <col min="7906" max="7906" width="11.42578125" style="366" customWidth="1"/>
    <col min="7907" max="7931" width="6.5703125" style="366" customWidth="1"/>
    <col min="7932" max="7932" width="13.28515625" style="366" customWidth="1"/>
    <col min="7933" max="7933" width="11.5703125" style="366" customWidth="1"/>
    <col min="7934" max="7935" width="13.7109375" style="366" customWidth="1"/>
    <col min="7936" max="7943" width="9.28515625" style="366"/>
    <col min="7944" max="7944" width="10" style="366" bestFit="1" customWidth="1"/>
    <col min="7945" max="7945" width="9.28515625" style="366"/>
    <col min="7946" max="7946" width="10" style="366" bestFit="1" customWidth="1"/>
    <col min="7947" max="7954" width="9.28515625" style="366"/>
    <col min="7955" max="7955" width="11.42578125" style="366" customWidth="1"/>
    <col min="7956" max="8114" width="9.28515625" style="366"/>
    <col min="8115" max="8115" width="4.42578125" style="366" bestFit="1" customWidth="1"/>
    <col min="8116" max="8116" width="41.7109375" style="366" customWidth="1"/>
    <col min="8117" max="8117" width="11.28515625" style="366" customWidth="1"/>
    <col min="8118" max="8121" width="15.42578125" style="366" customWidth="1"/>
    <col min="8122" max="8122" width="12.28515625" style="366" customWidth="1"/>
    <col min="8123" max="8123" width="12.42578125" style="366" customWidth="1"/>
    <col min="8124" max="8124" width="15.5703125" style="366" customWidth="1"/>
    <col min="8125" max="8125" width="14.42578125" style="366" customWidth="1"/>
    <col min="8126" max="8127" width="14.7109375" style="366" customWidth="1"/>
    <col min="8128" max="8128" width="20.7109375" style="366" customWidth="1"/>
    <col min="8129" max="8129" width="20.28515625" style="366" customWidth="1"/>
    <col min="8130" max="8132" width="6.7109375" style="366" customWidth="1"/>
    <col min="8133" max="8133" width="12.7109375" style="366" customWidth="1"/>
    <col min="8134" max="8134" width="10.5703125" style="366" customWidth="1"/>
    <col min="8135" max="8135" width="11.28515625" style="366" customWidth="1"/>
    <col min="8136" max="8137" width="10.5703125" style="366" customWidth="1"/>
    <col min="8138" max="8138" width="13.5703125" style="366" customWidth="1"/>
    <col min="8139" max="8139" width="11.7109375" style="366" customWidth="1"/>
    <col min="8140" max="8140" width="8.5703125" style="366" customWidth="1"/>
    <col min="8141" max="8141" width="10.28515625" style="366" customWidth="1"/>
    <col min="8142" max="8151" width="10.5703125" style="366" customWidth="1"/>
    <col min="8152" max="8153" width="9" style="366" customWidth="1"/>
    <col min="8154" max="8154" width="9.7109375" style="366" customWidth="1"/>
    <col min="8155" max="8155" width="11.7109375" style="366" customWidth="1"/>
    <col min="8156" max="8158" width="10.5703125" style="366" customWidth="1"/>
    <col min="8159" max="8159" width="10" style="366" customWidth="1"/>
    <col min="8160" max="8161" width="9.28515625" style="366"/>
    <col min="8162" max="8162" width="11.42578125" style="366" customWidth="1"/>
    <col min="8163" max="8187" width="6.5703125" style="366" customWidth="1"/>
    <col min="8188" max="8188" width="13.28515625" style="366" customWidth="1"/>
    <col min="8189" max="8189" width="11.5703125" style="366" customWidth="1"/>
    <col min="8190" max="8191" width="13.7109375" style="366" customWidth="1"/>
    <col min="8192" max="8199" width="9.28515625" style="366"/>
    <col min="8200" max="8200" width="10" style="366" bestFit="1" customWidth="1"/>
    <col min="8201" max="8201" width="9.28515625" style="366"/>
    <col min="8202" max="8202" width="10" style="366" bestFit="1" customWidth="1"/>
    <col min="8203" max="8210" width="9.28515625" style="366"/>
    <col min="8211" max="8211" width="11.42578125" style="366" customWidth="1"/>
    <col min="8212" max="8370" width="9.28515625" style="366"/>
    <col min="8371" max="8371" width="4.42578125" style="366" bestFit="1" customWidth="1"/>
    <col min="8372" max="8372" width="41.7109375" style="366" customWidth="1"/>
    <col min="8373" max="8373" width="11.28515625" style="366" customWidth="1"/>
    <col min="8374" max="8377" width="15.42578125" style="366" customWidth="1"/>
    <col min="8378" max="8378" width="12.28515625" style="366" customWidth="1"/>
    <col min="8379" max="8379" width="12.42578125" style="366" customWidth="1"/>
    <col min="8380" max="8380" width="15.5703125" style="366" customWidth="1"/>
    <col min="8381" max="8381" width="14.42578125" style="366" customWidth="1"/>
    <col min="8382" max="8383" width="14.7109375" style="366" customWidth="1"/>
    <col min="8384" max="8384" width="20.7109375" style="366" customWidth="1"/>
    <col min="8385" max="8385" width="20.28515625" style="366" customWidth="1"/>
    <col min="8386" max="8388" width="6.7109375" style="366" customWidth="1"/>
    <col min="8389" max="8389" width="12.7109375" style="366" customWidth="1"/>
    <col min="8390" max="8390" width="10.5703125" style="366" customWidth="1"/>
    <col min="8391" max="8391" width="11.28515625" style="366" customWidth="1"/>
    <col min="8392" max="8393" width="10.5703125" style="366" customWidth="1"/>
    <col min="8394" max="8394" width="13.5703125" style="366" customWidth="1"/>
    <col min="8395" max="8395" width="11.7109375" style="366" customWidth="1"/>
    <col min="8396" max="8396" width="8.5703125" style="366" customWidth="1"/>
    <col min="8397" max="8397" width="10.28515625" style="366" customWidth="1"/>
    <col min="8398" max="8407" width="10.5703125" style="366" customWidth="1"/>
    <col min="8408" max="8409" width="9" style="366" customWidth="1"/>
    <col min="8410" max="8410" width="9.7109375" style="366" customWidth="1"/>
    <col min="8411" max="8411" width="11.7109375" style="366" customWidth="1"/>
    <col min="8412" max="8414" width="10.5703125" style="366" customWidth="1"/>
    <col min="8415" max="8415" width="10" style="366" customWidth="1"/>
    <col min="8416" max="8417" width="9.28515625" style="366"/>
    <col min="8418" max="8418" width="11.42578125" style="366" customWidth="1"/>
    <col min="8419" max="8443" width="6.5703125" style="366" customWidth="1"/>
    <col min="8444" max="8444" width="13.28515625" style="366" customWidth="1"/>
    <col min="8445" max="8445" width="11.5703125" style="366" customWidth="1"/>
    <col min="8446" max="8447" width="13.7109375" style="366" customWidth="1"/>
    <col min="8448" max="8455" width="9.28515625" style="366"/>
    <col min="8456" max="8456" width="10" style="366" bestFit="1" customWidth="1"/>
    <col min="8457" max="8457" width="9.28515625" style="366"/>
    <col min="8458" max="8458" width="10" style="366" bestFit="1" customWidth="1"/>
    <col min="8459" max="8466" width="9.28515625" style="366"/>
    <col min="8467" max="8467" width="11.42578125" style="366" customWidth="1"/>
    <col min="8468" max="8626" width="9.28515625" style="366"/>
    <col min="8627" max="8627" width="4.42578125" style="366" bestFit="1" customWidth="1"/>
    <col min="8628" max="8628" width="41.7109375" style="366" customWidth="1"/>
    <col min="8629" max="8629" width="11.28515625" style="366" customWidth="1"/>
    <col min="8630" max="8633" width="15.42578125" style="366" customWidth="1"/>
    <col min="8634" max="8634" width="12.28515625" style="366" customWidth="1"/>
    <col min="8635" max="8635" width="12.42578125" style="366" customWidth="1"/>
    <col min="8636" max="8636" width="15.5703125" style="366" customWidth="1"/>
    <col min="8637" max="8637" width="14.42578125" style="366" customWidth="1"/>
    <col min="8638" max="8639" width="14.7109375" style="366" customWidth="1"/>
    <col min="8640" max="8640" width="20.7109375" style="366" customWidth="1"/>
    <col min="8641" max="8641" width="20.28515625" style="366" customWidth="1"/>
    <col min="8642" max="8644" width="6.7109375" style="366" customWidth="1"/>
    <col min="8645" max="8645" width="12.7109375" style="366" customWidth="1"/>
    <col min="8646" max="8646" width="10.5703125" style="366" customWidth="1"/>
    <col min="8647" max="8647" width="11.28515625" style="366" customWidth="1"/>
    <col min="8648" max="8649" width="10.5703125" style="366" customWidth="1"/>
    <col min="8650" max="8650" width="13.5703125" style="366" customWidth="1"/>
    <col min="8651" max="8651" width="11.7109375" style="366" customWidth="1"/>
    <col min="8652" max="8652" width="8.5703125" style="366" customWidth="1"/>
    <col min="8653" max="8653" width="10.28515625" style="366" customWidth="1"/>
    <col min="8654" max="8663" width="10.5703125" style="366" customWidth="1"/>
    <col min="8664" max="8665" width="9" style="366" customWidth="1"/>
    <col min="8666" max="8666" width="9.7109375" style="366" customWidth="1"/>
    <col min="8667" max="8667" width="11.7109375" style="366" customWidth="1"/>
    <col min="8668" max="8670" width="10.5703125" style="366" customWidth="1"/>
    <col min="8671" max="8671" width="10" style="366" customWidth="1"/>
    <col min="8672" max="8673" width="9.28515625" style="366"/>
    <col min="8674" max="8674" width="11.42578125" style="366" customWidth="1"/>
    <col min="8675" max="8699" width="6.5703125" style="366" customWidth="1"/>
    <col min="8700" max="8700" width="13.28515625" style="366" customWidth="1"/>
    <col min="8701" max="8701" width="11.5703125" style="366" customWidth="1"/>
    <col min="8702" max="8703" width="13.7109375" style="366" customWidth="1"/>
    <col min="8704" max="8711" width="9.28515625" style="366"/>
    <col min="8712" max="8712" width="10" style="366" bestFit="1" customWidth="1"/>
    <col min="8713" max="8713" width="9.28515625" style="366"/>
    <col min="8714" max="8714" width="10" style="366" bestFit="1" customWidth="1"/>
    <col min="8715" max="8722" width="9.28515625" style="366"/>
    <col min="8723" max="8723" width="11.42578125" style="366" customWidth="1"/>
    <col min="8724" max="8882" width="9.28515625" style="366"/>
    <col min="8883" max="8883" width="4.42578125" style="366" bestFit="1" customWidth="1"/>
    <col min="8884" max="8884" width="41.7109375" style="366" customWidth="1"/>
    <col min="8885" max="8885" width="11.28515625" style="366" customWidth="1"/>
    <col min="8886" max="8889" width="15.42578125" style="366" customWidth="1"/>
    <col min="8890" max="8890" width="12.28515625" style="366" customWidth="1"/>
    <col min="8891" max="8891" width="12.42578125" style="366" customWidth="1"/>
    <col min="8892" max="8892" width="15.5703125" style="366" customWidth="1"/>
    <col min="8893" max="8893" width="14.42578125" style="366" customWidth="1"/>
    <col min="8894" max="8895" width="14.7109375" style="366" customWidth="1"/>
    <col min="8896" max="8896" width="20.7109375" style="366" customWidth="1"/>
    <col min="8897" max="8897" width="20.28515625" style="366" customWidth="1"/>
    <col min="8898" max="8900" width="6.7109375" style="366" customWidth="1"/>
    <col min="8901" max="8901" width="12.7109375" style="366" customWidth="1"/>
    <col min="8902" max="8902" width="10.5703125" style="366" customWidth="1"/>
    <col min="8903" max="8903" width="11.28515625" style="366" customWidth="1"/>
    <col min="8904" max="8905" width="10.5703125" style="366" customWidth="1"/>
    <col min="8906" max="8906" width="13.5703125" style="366" customWidth="1"/>
    <col min="8907" max="8907" width="11.7109375" style="366" customWidth="1"/>
    <col min="8908" max="8908" width="8.5703125" style="366" customWidth="1"/>
    <col min="8909" max="8909" width="10.28515625" style="366" customWidth="1"/>
    <col min="8910" max="8919" width="10.5703125" style="366" customWidth="1"/>
    <col min="8920" max="8921" width="9" style="366" customWidth="1"/>
    <col min="8922" max="8922" width="9.7109375" style="366" customWidth="1"/>
    <col min="8923" max="8923" width="11.7109375" style="366" customWidth="1"/>
    <col min="8924" max="8926" width="10.5703125" style="366" customWidth="1"/>
    <col min="8927" max="8927" width="10" style="366" customWidth="1"/>
    <col min="8928" max="8929" width="9.28515625" style="366"/>
    <col min="8930" max="8930" width="11.42578125" style="366" customWidth="1"/>
    <col min="8931" max="8955" width="6.5703125" style="366" customWidth="1"/>
    <col min="8956" max="8956" width="13.28515625" style="366" customWidth="1"/>
    <col min="8957" max="8957" width="11.5703125" style="366" customWidth="1"/>
    <col min="8958" max="8959" width="13.7109375" style="366" customWidth="1"/>
    <col min="8960" max="8967" width="9.28515625" style="366"/>
    <col min="8968" max="8968" width="10" style="366" bestFit="1" customWidth="1"/>
    <col min="8969" max="8969" width="9.28515625" style="366"/>
    <col min="8970" max="8970" width="10" style="366" bestFit="1" customWidth="1"/>
    <col min="8971" max="8978" width="9.28515625" style="366"/>
    <col min="8979" max="8979" width="11.42578125" style="366" customWidth="1"/>
    <col min="8980" max="9138" width="9.28515625" style="366"/>
    <col min="9139" max="9139" width="4.42578125" style="366" bestFit="1" customWidth="1"/>
    <col min="9140" max="9140" width="41.7109375" style="366" customWidth="1"/>
    <col min="9141" max="9141" width="11.28515625" style="366" customWidth="1"/>
    <col min="9142" max="9145" width="15.42578125" style="366" customWidth="1"/>
    <col min="9146" max="9146" width="12.28515625" style="366" customWidth="1"/>
    <col min="9147" max="9147" width="12.42578125" style="366" customWidth="1"/>
    <col min="9148" max="9148" width="15.5703125" style="366" customWidth="1"/>
    <col min="9149" max="9149" width="14.42578125" style="366" customWidth="1"/>
    <col min="9150" max="9151" width="14.7109375" style="366" customWidth="1"/>
    <col min="9152" max="9152" width="20.7109375" style="366" customWidth="1"/>
    <col min="9153" max="9153" width="20.28515625" style="366" customWidth="1"/>
    <col min="9154" max="9156" width="6.7109375" style="366" customWidth="1"/>
    <col min="9157" max="9157" width="12.7109375" style="366" customWidth="1"/>
    <col min="9158" max="9158" width="10.5703125" style="366" customWidth="1"/>
    <col min="9159" max="9159" width="11.28515625" style="366" customWidth="1"/>
    <col min="9160" max="9161" width="10.5703125" style="366" customWidth="1"/>
    <col min="9162" max="9162" width="13.5703125" style="366" customWidth="1"/>
    <col min="9163" max="9163" width="11.7109375" style="366" customWidth="1"/>
    <col min="9164" max="9164" width="8.5703125" style="366" customWidth="1"/>
    <col min="9165" max="9165" width="10.28515625" style="366" customWidth="1"/>
    <col min="9166" max="9175" width="10.5703125" style="366" customWidth="1"/>
    <col min="9176" max="9177" width="9" style="366" customWidth="1"/>
    <col min="9178" max="9178" width="9.7109375" style="366" customWidth="1"/>
    <col min="9179" max="9179" width="11.7109375" style="366" customWidth="1"/>
    <col min="9180" max="9182" width="10.5703125" style="366" customWidth="1"/>
    <col min="9183" max="9183" width="10" style="366" customWidth="1"/>
    <col min="9184" max="9185" width="9.28515625" style="366"/>
    <col min="9186" max="9186" width="11.42578125" style="366" customWidth="1"/>
    <col min="9187" max="9211" width="6.5703125" style="366" customWidth="1"/>
    <col min="9212" max="9212" width="13.28515625" style="366" customWidth="1"/>
    <col min="9213" max="9213" width="11.5703125" style="366" customWidth="1"/>
    <col min="9214" max="9215" width="13.7109375" style="366" customWidth="1"/>
    <col min="9216" max="9223" width="9.28515625" style="366"/>
    <col min="9224" max="9224" width="10" style="366" bestFit="1" customWidth="1"/>
    <col min="9225" max="9225" width="9.28515625" style="366"/>
    <col min="9226" max="9226" width="10" style="366" bestFit="1" customWidth="1"/>
    <col min="9227" max="9234" width="9.28515625" style="366"/>
    <col min="9235" max="9235" width="11.42578125" style="366" customWidth="1"/>
    <col min="9236" max="9394" width="9.28515625" style="366"/>
    <col min="9395" max="9395" width="4.42578125" style="366" bestFit="1" customWidth="1"/>
    <col min="9396" max="9396" width="41.7109375" style="366" customWidth="1"/>
    <col min="9397" max="9397" width="11.28515625" style="366" customWidth="1"/>
    <col min="9398" max="9401" width="15.42578125" style="366" customWidth="1"/>
    <col min="9402" max="9402" width="12.28515625" style="366" customWidth="1"/>
    <col min="9403" max="9403" width="12.42578125" style="366" customWidth="1"/>
    <col min="9404" max="9404" width="15.5703125" style="366" customWidth="1"/>
    <col min="9405" max="9405" width="14.42578125" style="366" customWidth="1"/>
    <col min="9406" max="9407" width="14.7109375" style="366" customWidth="1"/>
    <col min="9408" max="9408" width="20.7109375" style="366" customWidth="1"/>
    <col min="9409" max="9409" width="20.28515625" style="366" customWidth="1"/>
    <col min="9410" max="9412" width="6.7109375" style="366" customWidth="1"/>
    <col min="9413" max="9413" width="12.7109375" style="366" customWidth="1"/>
    <col min="9414" max="9414" width="10.5703125" style="366" customWidth="1"/>
    <col min="9415" max="9415" width="11.28515625" style="366" customWidth="1"/>
    <col min="9416" max="9417" width="10.5703125" style="366" customWidth="1"/>
    <col min="9418" max="9418" width="13.5703125" style="366" customWidth="1"/>
    <col min="9419" max="9419" width="11.7109375" style="366" customWidth="1"/>
    <col min="9420" max="9420" width="8.5703125" style="366" customWidth="1"/>
    <col min="9421" max="9421" width="10.28515625" style="366" customWidth="1"/>
    <col min="9422" max="9431" width="10.5703125" style="366" customWidth="1"/>
    <col min="9432" max="9433" width="9" style="366" customWidth="1"/>
    <col min="9434" max="9434" width="9.7109375" style="366" customWidth="1"/>
    <col min="9435" max="9435" width="11.7109375" style="366" customWidth="1"/>
    <col min="9436" max="9438" width="10.5703125" style="366" customWidth="1"/>
    <col min="9439" max="9439" width="10" style="366" customWidth="1"/>
    <col min="9440" max="9441" width="9.28515625" style="366"/>
    <col min="9442" max="9442" width="11.42578125" style="366" customWidth="1"/>
    <col min="9443" max="9467" width="6.5703125" style="366" customWidth="1"/>
    <col min="9468" max="9468" width="13.28515625" style="366" customWidth="1"/>
    <col min="9469" max="9469" width="11.5703125" style="366" customWidth="1"/>
    <col min="9470" max="9471" width="13.7109375" style="366" customWidth="1"/>
    <col min="9472" max="9479" width="9.28515625" style="366"/>
    <col min="9480" max="9480" width="10" style="366" bestFit="1" customWidth="1"/>
    <col min="9481" max="9481" width="9.28515625" style="366"/>
    <col min="9482" max="9482" width="10" style="366" bestFit="1" customWidth="1"/>
    <col min="9483" max="9490" width="9.28515625" style="366"/>
    <col min="9491" max="9491" width="11.42578125" style="366" customWidth="1"/>
    <col min="9492" max="9650" width="9.28515625" style="366"/>
    <col min="9651" max="9651" width="4.42578125" style="366" bestFit="1" customWidth="1"/>
    <col min="9652" max="9652" width="41.7109375" style="366" customWidth="1"/>
    <col min="9653" max="9653" width="11.28515625" style="366" customWidth="1"/>
    <col min="9654" max="9657" width="15.42578125" style="366" customWidth="1"/>
    <col min="9658" max="9658" width="12.28515625" style="366" customWidth="1"/>
    <col min="9659" max="9659" width="12.42578125" style="366" customWidth="1"/>
    <col min="9660" max="9660" width="15.5703125" style="366" customWidth="1"/>
    <col min="9661" max="9661" width="14.42578125" style="366" customWidth="1"/>
    <col min="9662" max="9663" width="14.7109375" style="366" customWidth="1"/>
    <col min="9664" max="9664" width="20.7109375" style="366" customWidth="1"/>
    <col min="9665" max="9665" width="20.28515625" style="366" customWidth="1"/>
    <col min="9666" max="9668" width="6.7109375" style="366" customWidth="1"/>
    <col min="9669" max="9669" width="12.7109375" style="366" customWidth="1"/>
    <col min="9670" max="9670" width="10.5703125" style="366" customWidth="1"/>
    <col min="9671" max="9671" width="11.28515625" style="366" customWidth="1"/>
    <col min="9672" max="9673" width="10.5703125" style="366" customWidth="1"/>
    <col min="9674" max="9674" width="13.5703125" style="366" customWidth="1"/>
    <col min="9675" max="9675" width="11.7109375" style="366" customWidth="1"/>
    <col min="9676" max="9676" width="8.5703125" style="366" customWidth="1"/>
    <col min="9677" max="9677" width="10.28515625" style="366" customWidth="1"/>
    <col min="9678" max="9687" width="10.5703125" style="366" customWidth="1"/>
    <col min="9688" max="9689" width="9" style="366" customWidth="1"/>
    <col min="9690" max="9690" width="9.7109375" style="366" customWidth="1"/>
    <col min="9691" max="9691" width="11.7109375" style="366" customWidth="1"/>
    <col min="9692" max="9694" width="10.5703125" style="366" customWidth="1"/>
    <col min="9695" max="9695" width="10" style="366" customWidth="1"/>
    <col min="9696" max="9697" width="9.28515625" style="366"/>
    <col min="9698" max="9698" width="11.42578125" style="366" customWidth="1"/>
    <col min="9699" max="9723" width="6.5703125" style="366" customWidth="1"/>
    <col min="9724" max="9724" width="13.28515625" style="366" customWidth="1"/>
    <col min="9725" max="9725" width="11.5703125" style="366" customWidth="1"/>
    <col min="9726" max="9727" width="13.7109375" style="366" customWidth="1"/>
    <col min="9728" max="9735" width="9.28515625" style="366"/>
    <col min="9736" max="9736" width="10" style="366" bestFit="1" customWidth="1"/>
    <col min="9737" max="9737" width="9.28515625" style="366"/>
    <col min="9738" max="9738" width="10" style="366" bestFit="1" customWidth="1"/>
    <col min="9739" max="9746" width="9.28515625" style="366"/>
    <col min="9747" max="9747" width="11.42578125" style="366" customWidth="1"/>
    <col min="9748" max="9906" width="9.28515625" style="366"/>
    <col min="9907" max="9907" width="4.42578125" style="366" bestFit="1" customWidth="1"/>
    <col min="9908" max="9908" width="41.7109375" style="366" customWidth="1"/>
    <col min="9909" max="9909" width="11.28515625" style="366" customWidth="1"/>
    <col min="9910" max="9913" width="15.42578125" style="366" customWidth="1"/>
    <col min="9914" max="9914" width="12.28515625" style="366" customWidth="1"/>
    <col min="9915" max="9915" width="12.42578125" style="366" customWidth="1"/>
    <col min="9916" max="9916" width="15.5703125" style="366" customWidth="1"/>
    <col min="9917" max="9917" width="14.42578125" style="366" customWidth="1"/>
    <col min="9918" max="9919" width="14.7109375" style="366" customWidth="1"/>
    <col min="9920" max="9920" width="20.7109375" style="366" customWidth="1"/>
    <col min="9921" max="9921" width="20.28515625" style="366" customWidth="1"/>
    <col min="9922" max="9924" width="6.7109375" style="366" customWidth="1"/>
    <col min="9925" max="9925" width="12.7109375" style="366" customWidth="1"/>
    <col min="9926" max="9926" width="10.5703125" style="366" customWidth="1"/>
    <col min="9927" max="9927" width="11.28515625" style="366" customWidth="1"/>
    <col min="9928" max="9929" width="10.5703125" style="366" customWidth="1"/>
    <col min="9930" max="9930" width="13.5703125" style="366" customWidth="1"/>
    <col min="9931" max="9931" width="11.7109375" style="366" customWidth="1"/>
    <col min="9932" max="9932" width="8.5703125" style="366" customWidth="1"/>
    <col min="9933" max="9933" width="10.28515625" style="366" customWidth="1"/>
    <col min="9934" max="9943" width="10.5703125" style="366" customWidth="1"/>
    <col min="9944" max="9945" width="9" style="366" customWidth="1"/>
    <col min="9946" max="9946" width="9.7109375" style="366" customWidth="1"/>
    <col min="9947" max="9947" width="11.7109375" style="366" customWidth="1"/>
    <col min="9948" max="9950" width="10.5703125" style="366" customWidth="1"/>
    <col min="9951" max="9951" width="10" style="366" customWidth="1"/>
    <col min="9952" max="9953" width="9.28515625" style="366"/>
    <col min="9954" max="9954" width="11.42578125" style="366" customWidth="1"/>
    <col min="9955" max="9979" width="6.5703125" style="366" customWidth="1"/>
    <col min="9980" max="9980" width="13.28515625" style="366" customWidth="1"/>
    <col min="9981" max="9981" width="11.5703125" style="366" customWidth="1"/>
    <col min="9982" max="9983" width="13.7109375" style="366" customWidth="1"/>
    <col min="9984" max="9991" width="9.28515625" style="366"/>
    <col min="9992" max="9992" width="10" style="366" bestFit="1" customWidth="1"/>
    <col min="9993" max="9993" width="9.28515625" style="366"/>
    <col min="9994" max="9994" width="10" style="366" bestFit="1" customWidth="1"/>
    <col min="9995" max="10002" width="9.28515625" style="366"/>
    <col min="10003" max="10003" width="11.42578125" style="366" customWidth="1"/>
    <col min="10004" max="10162" width="9.28515625" style="366"/>
    <col min="10163" max="10163" width="4.42578125" style="366" bestFit="1" customWidth="1"/>
    <col min="10164" max="10164" width="41.7109375" style="366" customWidth="1"/>
    <col min="10165" max="10165" width="11.28515625" style="366" customWidth="1"/>
    <col min="10166" max="10169" width="15.42578125" style="366" customWidth="1"/>
    <col min="10170" max="10170" width="12.28515625" style="366" customWidth="1"/>
    <col min="10171" max="10171" width="12.42578125" style="366" customWidth="1"/>
    <col min="10172" max="10172" width="15.5703125" style="366" customWidth="1"/>
    <col min="10173" max="10173" width="14.42578125" style="366" customWidth="1"/>
    <col min="10174" max="10175" width="14.7109375" style="366" customWidth="1"/>
    <col min="10176" max="10176" width="20.7109375" style="366" customWidth="1"/>
    <col min="10177" max="10177" width="20.28515625" style="366" customWidth="1"/>
    <col min="10178" max="10180" width="6.7109375" style="366" customWidth="1"/>
    <col min="10181" max="10181" width="12.7109375" style="366" customWidth="1"/>
    <col min="10182" max="10182" width="10.5703125" style="366" customWidth="1"/>
    <col min="10183" max="10183" width="11.28515625" style="366" customWidth="1"/>
    <col min="10184" max="10185" width="10.5703125" style="366" customWidth="1"/>
    <col min="10186" max="10186" width="13.5703125" style="366" customWidth="1"/>
    <col min="10187" max="10187" width="11.7109375" style="366" customWidth="1"/>
    <col min="10188" max="10188" width="8.5703125" style="366" customWidth="1"/>
    <col min="10189" max="10189" width="10.28515625" style="366" customWidth="1"/>
    <col min="10190" max="10199" width="10.5703125" style="366" customWidth="1"/>
    <col min="10200" max="10201" width="9" style="366" customWidth="1"/>
    <col min="10202" max="10202" width="9.7109375" style="366" customWidth="1"/>
    <col min="10203" max="10203" width="11.7109375" style="366" customWidth="1"/>
    <col min="10204" max="10206" width="10.5703125" style="366" customWidth="1"/>
    <col min="10207" max="10207" width="10" style="366" customWidth="1"/>
    <col min="10208" max="10209" width="9.28515625" style="366"/>
    <col min="10210" max="10210" width="11.42578125" style="366" customWidth="1"/>
    <col min="10211" max="10235" width="6.5703125" style="366" customWidth="1"/>
    <col min="10236" max="10236" width="13.28515625" style="366" customWidth="1"/>
    <col min="10237" max="10237" width="11.5703125" style="366" customWidth="1"/>
    <col min="10238" max="10239" width="13.7109375" style="366" customWidth="1"/>
    <col min="10240" max="10247" width="9.28515625" style="366"/>
    <col min="10248" max="10248" width="10" style="366" bestFit="1" customWidth="1"/>
    <col min="10249" max="10249" width="9.28515625" style="366"/>
    <col min="10250" max="10250" width="10" style="366" bestFit="1" customWidth="1"/>
    <col min="10251" max="10258" width="9.28515625" style="366"/>
    <col min="10259" max="10259" width="11.42578125" style="366" customWidth="1"/>
    <col min="10260" max="10418" width="9.28515625" style="366"/>
    <col min="10419" max="10419" width="4.42578125" style="366" bestFit="1" customWidth="1"/>
    <col min="10420" max="10420" width="41.7109375" style="366" customWidth="1"/>
    <col min="10421" max="10421" width="11.28515625" style="366" customWidth="1"/>
    <col min="10422" max="10425" width="15.42578125" style="366" customWidth="1"/>
    <col min="10426" max="10426" width="12.28515625" style="366" customWidth="1"/>
    <col min="10427" max="10427" width="12.42578125" style="366" customWidth="1"/>
    <col min="10428" max="10428" width="15.5703125" style="366" customWidth="1"/>
    <col min="10429" max="10429" width="14.42578125" style="366" customWidth="1"/>
    <col min="10430" max="10431" width="14.7109375" style="366" customWidth="1"/>
    <col min="10432" max="10432" width="20.7109375" style="366" customWidth="1"/>
    <col min="10433" max="10433" width="20.28515625" style="366" customWidth="1"/>
    <col min="10434" max="10436" width="6.7109375" style="366" customWidth="1"/>
    <col min="10437" max="10437" width="12.7109375" style="366" customWidth="1"/>
    <col min="10438" max="10438" width="10.5703125" style="366" customWidth="1"/>
    <col min="10439" max="10439" width="11.28515625" style="366" customWidth="1"/>
    <col min="10440" max="10441" width="10.5703125" style="366" customWidth="1"/>
    <col min="10442" max="10442" width="13.5703125" style="366" customWidth="1"/>
    <col min="10443" max="10443" width="11.7109375" style="366" customWidth="1"/>
    <col min="10444" max="10444" width="8.5703125" style="366" customWidth="1"/>
    <col min="10445" max="10445" width="10.28515625" style="366" customWidth="1"/>
    <col min="10446" max="10455" width="10.5703125" style="366" customWidth="1"/>
    <col min="10456" max="10457" width="9" style="366" customWidth="1"/>
    <col min="10458" max="10458" width="9.7109375" style="366" customWidth="1"/>
    <col min="10459" max="10459" width="11.7109375" style="366" customWidth="1"/>
    <col min="10460" max="10462" width="10.5703125" style="366" customWidth="1"/>
    <col min="10463" max="10463" width="10" style="366" customWidth="1"/>
    <col min="10464" max="10465" width="9.28515625" style="366"/>
    <col min="10466" max="10466" width="11.42578125" style="366" customWidth="1"/>
    <col min="10467" max="10491" width="6.5703125" style="366" customWidth="1"/>
    <col min="10492" max="10492" width="13.28515625" style="366" customWidth="1"/>
    <col min="10493" max="10493" width="11.5703125" style="366" customWidth="1"/>
    <col min="10494" max="10495" width="13.7109375" style="366" customWidth="1"/>
    <col min="10496" max="10503" width="9.28515625" style="366"/>
    <col min="10504" max="10504" width="10" style="366" bestFit="1" customWidth="1"/>
    <col min="10505" max="10505" width="9.28515625" style="366"/>
    <col min="10506" max="10506" width="10" style="366" bestFit="1" customWidth="1"/>
    <col min="10507" max="10514" width="9.28515625" style="366"/>
    <col min="10515" max="10515" width="11.42578125" style="366" customWidth="1"/>
    <col min="10516" max="10674" width="9.28515625" style="366"/>
    <col min="10675" max="10675" width="4.42578125" style="366" bestFit="1" customWidth="1"/>
    <col min="10676" max="10676" width="41.7109375" style="366" customWidth="1"/>
    <col min="10677" max="10677" width="11.28515625" style="366" customWidth="1"/>
    <col min="10678" max="10681" width="15.42578125" style="366" customWidth="1"/>
    <col min="10682" max="10682" width="12.28515625" style="366" customWidth="1"/>
    <col min="10683" max="10683" width="12.42578125" style="366" customWidth="1"/>
    <col min="10684" max="10684" width="15.5703125" style="366" customWidth="1"/>
    <col min="10685" max="10685" width="14.42578125" style="366" customWidth="1"/>
    <col min="10686" max="10687" width="14.7109375" style="366" customWidth="1"/>
    <col min="10688" max="10688" width="20.7109375" style="366" customWidth="1"/>
    <col min="10689" max="10689" width="20.28515625" style="366" customWidth="1"/>
    <col min="10690" max="10692" width="6.7109375" style="366" customWidth="1"/>
    <col min="10693" max="10693" width="12.7109375" style="366" customWidth="1"/>
    <col min="10694" max="10694" width="10.5703125" style="366" customWidth="1"/>
    <col min="10695" max="10695" width="11.28515625" style="366" customWidth="1"/>
    <col min="10696" max="10697" width="10.5703125" style="366" customWidth="1"/>
    <col min="10698" max="10698" width="13.5703125" style="366" customWidth="1"/>
    <col min="10699" max="10699" width="11.7109375" style="366" customWidth="1"/>
    <col min="10700" max="10700" width="8.5703125" style="366" customWidth="1"/>
    <col min="10701" max="10701" width="10.28515625" style="366" customWidth="1"/>
    <col min="10702" max="10711" width="10.5703125" style="366" customWidth="1"/>
    <col min="10712" max="10713" width="9" style="366" customWidth="1"/>
    <col min="10714" max="10714" width="9.7109375" style="366" customWidth="1"/>
    <col min="10715" max="10715" width="11.7109375" style="366" customWidth="1"/>
    <col min="10716" max="10718" width="10.5703125" style="366" customWidth="1"/>
    <col min="10719" max="10719" width="10" style="366" customWidth="1"/>
    <col min="10720" max="10721" width="9.28515625" style="366"/>
    <col min="10722" max="10722" width="11.42578125" style="366" customWidth="1"/>
    <col min="10723" max="10747" width="6.5703125" style="366" customWidth="1"/>
    <col min="10748" max="10748" width="13.28515625" style="366" customWidth="1"/>
    <col min="10749" max="10749" width="11.5703125" style="366" customWidth="1"/>
    <col min="10750" max="10751" width="13.7109375" style="366" customWidth="1"/>
    <col min="10752" max="10759" width="9.28515625" style="366"/>
    <col min="10760" max="10760" width="10" style="366" bestFit="1" customWidth="1"/>
    <col min="10761" max="10761" width="9.28515625" style="366"/>
    <col min="10762" max="10762" width="10" style="366" bestFit="1" customWidth="1"/>
    <col min="10763" max="10770" width="9.28515625" style="366"/>
    <col min="10771" max="10771" width="11.42578125" style="366" customWidth="1"/>
    <col min="10772" max="10930" width="9.28515625" style="366"/>
    <col min="10931" max="10931" width="4.42578125" style="366" bestFit="1" customWidth="1"/>
    <col min="10932" max="10932" width="41.7109375" style="366" customWidth="1"/>
    <col min="10933" max="10933" width="11.28515625" style="366" customWidth="1"/>
    <col min="10934" max="10937" width="15.42578125" style="366" customWidth="1"/>
    <col min="10938" max="10938" width="12.28515625" style="366" customWidth="1"/>
    <col min="10939" max="10939" width="12.42578125" style="366" customWidth="1"/>
    <col min="10940" max="10940" width="15.5703125" style="366" customWidth="1"/>
    <col min="10941" max="10941" width="14.42578125" style="366" customWidth="1"/>
    <col min="10942" max="10943" width="14.7109375" style="366" customWidth="1"/>
    <col min="10944" max="10944" width="20.7109375" style="366" customWidth="1"/>
    <col min="10945" max="10945" width="20.28515625" style="366" customWidth="1"/>
    <col min="10946" max="10948" width="6.7109375" style="366" customWidth="1"/>
    <col min="10949" max="10949" width="12.7109375" style="366" customWidth="1"/>
    <col min="10950" max="10950" width="10.5703125" style="366" customWidth="1"/>
    <col min="10951" max="10951" width="11.28515625" style="366" customWidth="1"/>
    <col min="10952" max="10953" width="10.5703125" style="366" customWidth="1"/>
    <col min="10954" max="10954" width="13.5703125" style="366" customWidth="1"/>
    <col min="10955" max="10955" width="11.7109375" style="366" customWidth="1"/>
    <col min="10956" max="10956" width="8.5703125" style="366" customWidth="1"/>
    <col min="10957" max="10957" width="10.28515625" style="366" customWidth="1"/>
    <col min="10958" max="10967" width="10.5703125" style="366" customWidth="1"/>
    <col min="10968" max="10969" width="9" style="366" customWidth="1"/>
    <col min="10970" max="10970" width="9.7109375" style="366" customWidth="1"/>
    <col min="10971" max="10971" width="11.7109375" style="366" customWidth="1"/>
    <col min="10972" max="10974" width="10.5703125" style="366" customWidth="1"/>
    <col min="10975" max="10975" width="10" style="366" customWidth="1"/>
    <col min="10976" max="10977" width="9.28515625" style="366"/>
    <col min="10978" max="10978" width="11.42578125" style="366" customWidth="1"/>
    <col min="10979" max="11003" width="6.5703125" style="366" customWidth="1"/>
    <col min="11004" max="11004" width="13.28515625" style="366" customWidth="1"/>
    <col min="11005" max="11005" width="11.5703125" style="366" customWidth="1"/>
    <col min="11006" max="11007" width="13.7109375" style="366" customWidth="1"/>
    <col min="11008" max="11015" width="9.28515625" style="366"/>
    <col min="11016" max="11016" width="10" style="366" bestFit="1" customWidth="1"/>
    <col min="11017" max="11017" width="9.28515625" style="366"/>
    <col min="11018" max="11018" width="10" style="366" bestFit="1" customWidth="1"/>
    <col min="11019" max="11026" width="9.28515625" style="366"/>
    <col min="11027" max="11027" width="11.42578125" style="366" customWidth="1"/>
    <col min="11028" max="11186" width="9.28515625" style="366"/>
    <col min="11187" max="11187" width="4.42578125" style="366" bestFit="1" customWidth="1"/>
    <col min="11188" max="11188" width="41.7109375" style="366" customWidth="1"/>
    <col min="11189" max="11189" width="11.28515625" style="366" customWidth="1"/>
    <col min="11190" max="11193" width="15.42578125" style="366" customWidth="1"/>
    <col min="11194" max="11194" width="12.28515625" style="366" customWidth="1"/>
    <col min="11195" max="11195" width="12.42578125" style="366" customWidth="1"/>
    <col min="11196" max="11196" width="15.5703125" style="366" customWidth="1"/>
    <col min="11197" max="11197" width="14.42578125" style="366" customWidth="1"/>
    <col min="11198" max="11199" width="14.7109375" style="366" customWidth="1"/>
    <col min="11200" max="11200" width="20.7109375" style="366" customWidth="1"/>
    <col min="11201" max="11201" width="20.28515625" style="366" customWidth="1"/>
    <col min="11202" max="11204" width="6.7109375" style="366" customWidth="1"/>
    <col min="11205" max="11205" width="12.7109375" style="366" customWidth="1"/>
    <col min="11206" max="11206" width="10.5703125" style="366" customWidth="1"/>
    <col min="11207" max="11207" width="11.28515625" style="366" customWidth="1"/>
    <col min="11208" max="11209" width="10.5703125" style="366" customWidth="1"/>
    <col min="11210" max="11210" width="13.5703125" style="366" customWidth="1"/>
    <col min="11211" max="11211" width="11.7109375" style="366" customWidth="1"/>
    <col min="11212" max="11212" width="8.5703125" style="366" customWidth="1"/>
    <col min="11213" max="11213" width="10.28515625" style="366" customWidth="1"/>
    <col min="11214" max="11223" width="10.5703125" style="366" customWidth="1"/>
    <col min="11224" max="11225" width="9" style="366" customWidth="1"/>
    <col min="11226" max="11226" width="9.7109375" style="366" customWidth="1"/>
    <col min="11227" max="11227" width="11.7109375" style="366" customWidth="1"/>
    <col min="11228" max="11230" width="10.5703125" style="366" customWidth="1"/>
    <col min="11231" max="11231" width="10" style="366" customWidth="1"/>
    <col min="11232" max="11233" width="9.28515625" style="366"/>
    <col min="11234" max="11234" width="11.42578125" style="366" customWidth="1"/>
    <col min="11235" max="11259" width="6.5703125" style="366" customWidth="1"/>
    <col min="11260" max="11260" width="13.28515625" style="366" customWidth="1"/>
    <col min="11261" max="11261" width="11.5703125" style="366" customWidth="1"/>
    <col min="11262" max="11263" width="13.7109375" style="366" customWidth="1"/>
    <col min="11264" max="11271" width="9.28515625" style="366"/>
    <col min="11272" max="11272" width="10" style="366" bestFit="1" customWidth="1"/>
    <col min="11273" max="11273" width="9.28515625" style="366"/>
    <col min="11274" max="11274" width="10" style="366" bestFit="1" customWidth="1"/>
    <col min="11275" max="11282" width="9.28515625" style="366"/>
    <col min="11283" max="11283" width="11.42578125" style="366" customWidth="1"/>
    <col min="11284" max="11442" width="9.28515625" style="366"/>
    <col min="11443" max="11443" width="4.42578125" style="366" bestFit="1" customWidth="1"/>
    <col min="11444" max="11444" width="41.7109375" style="366" customWidth="1"/>
    <col min="11445" max="11445" width="11.28515625" style="366" customWidth="1"/>
    <col min="11446" max="11449" width="15.42578125" style="366" customWidth="1"/>
    <col min="11450" max="11450" width="12.28515625" style="366" customWidth="1"/>
    <col min="11451" max="11451" width="12.42578125" style="366" customWidth="1"/>
    <col min="11452" max="11452" width="15.5703125" style="366" customWidth="1"/>
    <col min="11453" max="11453" width="14.42578125" style="366" customWidth="1"/>
    <col min="11454" max="11455" width="14.7109375" style="366" customWidth="1"/>
    <col min="11456" max="11456" width="20.7109375" style="366" customWidth="1"/>
    <col min="11457" max="11457" width="20.28515625" style="366" customWidth="1"/>
    <col min="11458" max="11460" width="6.7109375" style="366" customWidth="1"/>
    <col min="11461" max="11461" width="12.7109375" style="366" customWidth="1"/>
    <col min="11462" max="11462" width="10.5703125" style="366" customWidth="1"/>
    <col min="11463" max="11463" width="11.28515625" style="366" customWidth="1"/>
    <col min="11464" max="11465" width="10.5703125" style="366" customWidth="1"/>
    <col min="11466" max="11466" width="13.5703125" style="366" customWidth="1"/>
    <col min="11467" max="11467" width="11.7109375" style="366" customWidth="1"/>
    <col min="11468" max="11468" width="8.5703125" style="366" customWidth="1"/>
    <col min="11469" max="11469" width="10.28515625" style="366" customWidth="1"/>
    <col min="11470" max="11479" width="10.5703125" style="366" customWidth="1"/>
    <col min="11480" max="11481" width="9" style="366" customWidth="1"/>
    <col min="11482" max="11482" width="9.7109375" style="366" customWidth="1"/>
    <col min="11483" max="11483" width="11.7109375" style="366" customWidth="1"/>
    <col min="11484" max="11486" width="10.5703125" style="366" customWidth="1"/>
    <col min="11487" max="11487" width="10" style="366" customWidth="1"/>
    <col min="11488" max="11489" width="9.28515625" style="366"/>
    <col min="11490" max="11490" width="11.42578125" style="366" customWidth="1"/>
    <col min="11491" max="11515" width="6.5703125" style="366" customWidth="1"/>
    <col min="11516" max="11516" width="13.28515625" style="366" customWidth="1"/>
    <col min="11517" max="11517" width="11.5703125" style="366" customWidth="1"/>
    <col min="11518" max="11519" width="13.7109375" style="366" customWidth="1"/>
    <col min="11520" max="11527" width="9.28515625" style="366"/>
    <col min="11528" max="11528" width="10" style="366" bestFit="1" customWidth="1"/>
    <col min="11529" max="11529" width="9.28515625" style="366"/>
    <col min="11530" max="11530" width="10" style="366" bestFit="1" customWidth="1"/>
    <col min="11531" max="11538" width="9.28515625" style="366"/>
    <col min="11539" max="11539" width="11.42578125" style="366" customWidth="1"/>
    <col min="11540" max="11698" width="9.28515625" style="366"/>
    <col min="11699" max="11699" width="4.42578125" style="366" bestFit="1" customWidth="1"/>
    <col min="11700" max="11700" width="41.7109375" style="366" customWidth="1"/>
    <col min="11701" max="11701" width="11.28515625" style="366" customWidth="1"/>
    <col min="11702" max="11705" width="15.42578125" style="366" customWidth="1"/>
    <col min="11706" max="11706" width="12.28515625" style="366" customWidth="1"/>
    <col min="11707" max="11707" width="12.42578125" style="366" customWidth="1"/>
    <col min="11708" max="11708" width="15.5703125" style="366" customWidth="1"/>
    <col min="11709" max="11709" width="14.42578125" style="366" customWidth="1"/>
    <col min="11710" max="11711" width="14.7109375" style="366" customWidth="1"/>
    <col min="11712" max="11712" width="20.7109375" style="366" customWidth="1"/>
    <col min="11713" max="11713" width="20.28515625" style="366" customWidth="1"/>
    <col min="11714" max="11716" width="6.7109375" style="366" customWidth="1"/>
    <col min="11717" max="11717" width="12.7109375" style="366" customWidth="1"/>
    <col min="11718" max="11718" width="10.5703125" style="366" customWidth="1"/>
    <col min="11719" max="11719" width="11.28515625" style="366" customWidth="1"/>
    <col min="11720" max="11721" width="10.5703125" style="366" customWidth="1"/>
    <col min="11722" max="11722" width="13.5703125" style="366" customWidth="1"/>
    <col min="11723" max="11723" width="11.7109375" style="366" customWidth="1"/>
    <col min="11724" max="11724" width="8.5703125" style="366" customWidth="1"/>
    <col min="11725" max="11725" width="10.28515625" style="366" customWidth="1"/>
    <col min="11726" max="11735" width="10.5703125" style="366" customWidth="1"/>
    <col min="11736" max="11737" width="9" style="366" customWidth="1"/>
    <col min="11738" max="11738" width="9.7109375" style="366" customWidth="1"/>
    <col min="11739" max="11739" width="11.7109375" style="366" customWidth="1"/>
    <col min="11740" max="11742" width="10.5703125" style="366" customWidth="1"/>
    <col min="11743" max="11743" width="10" style="366" customWidth="1"/>
    <col min="11744" max="11745" width="9.28515625" style="366"/>
    <col min="11746" max="11746" width="11.42578125" style="366" customWidth="1"/>
    <col min="11747" max="11771" width="6.5703125" style="366" customWidth="1"/>
    <col min="11772" max="11772" width="13.28515625" style="366" customWidth="1"/>
    <col min="11773" max="11773" width="11.5703125" style="366" customWidth="1"/>
    <col min="11774" max="11775" width="13.7109375" style="366" customWidth="1"/>
    <col min="11776" max="11783" width="9.28515625" style="366"/>
    <col min="11784" max="11784" width="10" style="366" bestFit="1" customWidth="1"/>
    <col min="11785" max="11785" width="9.28515625" style="366"/>
    <col min="11786" max="11786" width="10" style="366" bestFit="1" customWidth="1"/>
    <col min="11787" max="11794" width="9.28515625" style="366"/>
    <col min="11795" max="11795" width="11.42578125" style="366" customWidth="1"/>
    <col min="11796" max="11954" width="9.28515625" style="366"/>
    <col min="11955" max="11955" width="4.42578125" style="366" bestFit="1" customWidth="1"/>
    <col min="11956" max="11956" width="41.7109375" style="366" customWidth="1"/>
    <col min="11957" max="11957" width="11.28515625" style="366" customWidth="1"/>
    <col min="11958" max="11961" width="15.42578125" style="366" customWidth="1"/>
    <col min="11962" max="11962" width="12.28515625" style="366" customWidth="1"/>
    <col min="11963" max="11963" width="12.42578125" style="366" customWidth="1"/>
    <col min="11964" max="11964" width="15.5703125" style="366" customWidth="1"/>
    <col min="11965" max="11965" width="14.42578125" style="366" customWidth="1"/>
    <col min="11966" max="11967" width="14.7109375" style="366" customWidth="1"/>
    <col min="11968" max="11968" width="20.7109375" style="366" customWidth="1"/>
    <col min="11969" max="11969" width="20.28515625" style="366" customWidth="1"/>
    <col min="11970" max="11972" width="6.7109375" style="366" customWidth="1"/>
    <col min="11973" max="11973" width="12.7109375" style="366" customWidth="1"/>
    <col min="11974" max="11974" width="10.5703125" style="366" customWidth="1"/>
    <col min="11975" max="11975" width="11.28515625" style="366" customWidth="1"/>
    <col min="11976" max="11977" width="10.5703125" style="366" customWidth="1"/>
    <col min="11978" max="11978" width="13.5703125" style="366" customWidth="1"/>
    <col min="11979" max="11979" width="11.7109375" style="366" customWidth="1"/>
    <col min="11980" max="11980" width="8.5703125" style="366" customWidth="1"/>
    <col min="11981" max="11981" width="10.28515625" style="366" customWidth="1"/>
    <col min="11982" max="11991" width="10.5703125" style="366" customWidth="1"/>
    <col min="11992" max="11993" width="9" style="366" customWidth="1"/>
    <col min="11994" max="11994" width="9.7109375" style="366" customWidth="1"/>
    <col min="11995" max="11995" width="11.7109375" style="366" customWidth="1"/>
    <col min="11996" max="11998" width="10.5703125" style="366" customWidth="1"/>
    <col min="11999" max="11999" width="10" style="366" customWidth="1"/>
    <col min="12000" max="12001" width="9.28515625" style="366"/>
    <col min="12002" max="12002" width="11.42578125" style="366" customWidth="1"/>
    <col min="12003" max="12027" width="6.5703125" style="366" customWidth="1"/>
    <col min="12028" max="12028" width="13.28515625" style="366" customWidth="1"/>
    <col min="12029" max="12029" width="11.5703125" style="366" customWidth="1"/>
    <col min="12030" max="12031" width="13.7109375" style="366" customWidth="1"/>
    <col min="12032" max="12039" width="9.28515625" style="366"/>
    <col min="12040" max="12040" width="10" style="366" bestFit="1" customWidth="1"/>
    <col min="12041" max="12041" width="9.28515625" style="366"/>
    <col min="12042" max="12042" width="10" style="366" bestFit="1" customWidth="1"/>
    <col min="12043" max="12050" width="9.28515625" style="366"/>
    <col min="12051" max="12051" width="11.42578125" style="366" customWidth="1"/>
    <col min="12052" max="12210" width="9.28515625" style="366"/>
    <col min="12211" max="12211" width="4.42578125" style="366" bestFit="1" customWidth="1"/>
    <col min="12212" max="12212" width="41.7109375" style="366" customWidth="1"/>
    <col min="12213" max="12213" width="11.28515625" style="366" customWidth="1"/>
    <col min="12214" max="12217" width="15.42578125" style="366" customWidth="1"/>
    <col min="12218" max="12218" width="12.28515625" style="366" customWidth="1"/>
    <col min="12219" max="12219" width="12.42578125" style="366" customWidth="1"/>
    <col min="12220" max="12220" width="15.5703125" style="366" customWidth="1"/>
    <col min="12221" max="12221" width="14.42578125" style="366" customWidth="1"/>
    <col min="12222" max="12223" width="14.7109375" style="366" customWidth="1"/>
    <col min="12224" max="12224" width="20.7109375" style="366" customWidth="1"/>
    <col min="12225" max="12225" width="20.28515625" style="366" customWidth="1"/>
    <col min="12226" max="12228" width="6.7109375" style="366" customWidth="1"/>
    <col min="12229" max="12229" width="12.7109375" style="366" customWidth="1"/>
    <col min="12230" max="12230" width="10.5703125" style="366" customWidth="1"/>
    <col min="12231" max="12231" width="11.28515625" style="366" customWidth="1"/>
    <col min="12232" max="12233" width="10.5703125" style="366" customWidth="1"/>
    <col min="12234" max="12234" width="13.5703125" style="366" customWidth="1"/>
    <col min="12235" max="12235" width="11.7109375" style="366" customWidth="1"/>
    <col min="12236" max="12236" width="8.5703125" style="366" customWidth="1"/>
    <col min="12237" max="12237" width="10.28515625" style="366" customWidth="1"/>
    <col min="12238" max="12247" width="10.5703125" style="366" customWidth="1"/>
    <col min="12248" max="12249" width="9" style="366" customWidth="1"/>
    <col min="12250" max="12250" width="9.7109375" style="366" customWidth="1"/>
    <col min="12251" max="12251" width="11.7109375" style="366" customWidth="1"/>
    <col min="12252" max="12254" width="10.5703125" style="366" customWidth="1"/>
    <col min="12255" max="12255" width="10" style="366" customWidth="1"/>
    <col min="12256" max="12257" width="9.28515625" style="366"/>
    <col min="12258" max="12258" width="11.42578125" style="366" customWidth="1"/>
    <col min="12259" max="12283" width="6.5703125" style="366" customWidth="1"/>
    <col min="12284" max="12284" width="13.28515625" style="366" customWidth="1"/>
    <col min="12285" max="12285" width="11.5703125" style="366" customWidth="1"/>
    <col min="12286" max="12287" width="13.7109375" style="366" customWidth="1"/>
    <col min="12288" max="12295" width="9.28515625" style="366"/>
    <col min="12296" max="12296" width="10" style="366" bestFit="1" customWidth="1"/>
    <col min="12297" max="12297" width="9.28515625" style="366"/>
    <col min="12298" max="12298" width="10" style="366" bestFit="1" customWidth="1"/>
    <col min="12299" max="12306" width="9.28515625" style="366"/>
    <col min="12307" max="12307" width="11.42578125" style="366" customWidth="1"/>
    <col min="12308" max="12466" width="9.28515625" style="366"/>
    <col min="12467" max="12467" width="4.42578125" style="366" bestFit="1" customWidth="1"/>
    <col min="12468" max="12468" width="41.7109375" style="366" customWidth="1"/>
    <col min="12469" max="12469" width="11.28515625" style="366" customWidth="1"/>
    <col min="12470" max="12473" width="15.42578125" style="366" customWidth="1"/>
    <col min="12474" max="12474" width="12.28515625" style="366" customWidth="1"/>
    <col min="12475" max="12475" width="12.42578125" style="366" customWidth="1"/>
    <col min="12476" max="12476" width="15.5703125" style="366" customWidth="1"/>
    <col min="12477" max="12477" width="14.42578125" style="366" customWidth="1"/>
    <col min="12478" max="12479" width="14.7109375" style="366" customWidth="1"/>
    <col min="12480" max="12480" width="20.7109375" style="366" customWidth="1"/>
    <col min="12481" max="12481" width="20.28515625" style="366" customWidth="1"/>
    <col min="12482" max="12484" width="6.7109375" style="366" customWidth="1"/>
    <col min="12485" max="12485" width="12.7109375" style="366" customWidth="1"/>
    <col min="12486" max="12486" width="10.5703125" style="366" customWidth="1"/>
    <col min="12487" max="12487" width="11.28515625" style="366" customWidth="1"/>
    <col min="12488" max="12489" width="10.5703125" style="366" customWidth="1"/>
    <col min="12490" max="12490" width="13.5703125" style="366" customWidth="1"/>
    <col min="12491" max="12491" width="11.7109375" style="366" customWidth="1"/>
    <col min="12492" max="12492" width="8.5703125" style="366" customWidth="1"/>
    <col min="12493" max="12493" width="10.28515625" style="366" customWidth="1"/>
    <col min="12494" max="12503" width="10.5703125" style="366" customWidth="1"/>
    <col min="12504" max="12505" width="9" style="366" customWidth="1"/>
    <col min="12506" max="12506" width="9.7109375" style="366" customWidth="1"/>
    <col min="12507" max="12507" width="11.7109375" style="366" customWidth="1"/>
    <col min="12508" max="12510" width="10.5703125" style="366" customWidth="1"/>
    <col min="12511" max="12511" width="10" style="366" customWidth="1"/>
    <col min="12512" max="12513" width="9.28515625" style="366"/>
    <col min="12514" max="12514" width="11.42578125" style="366" customWidth="1"/>
    <col min="12515" max="12539" width="6.5703125" style="366" customWidth="1"/>
    <col min="12540" max="12540" width="13.28515625" style="366" customWidth="1"/>
    <col min="12541" max="12541" width="11.5703125" style="366" customWidth="1"/>
    <col min="12542" max="12543" width="13.7109375" style="366" customWidth="1"/>
    <col min="12544" max="12551" width="9.28515625" style="366"/>
    <col min="12552" max="12552" width="10" style="366" bestFit="1" customWidth="1"/>
    <col min="12553" max="12553" width="9.28515625" style="366"/>
    <col min="12554" max="12554" width="10" style="366" bestFit="1" customWidth="1"/>
    <col min="12555" max="12562" width="9.28515625" style="366"/>
    <col min="12563" max="12563" width="11.42578125" style="366" customWidth="1"/>
    <col min="12564" max="12722" width="9.28515625" style="366"/>
    <col min="12723" max="12723" width="4.42578125" style="366" bestFit="1" customWidth="1"/>
    <col min="12724" max="12724" width="41.7109375" style="366" customWidth="1"/>
    <col min="12725" max="12725" width="11.28515625" style="366" customWidth="1"/>
    <col min="12726" max="12729" width="15.42578125" style="366" customWidth="1"/>
    <col min="12730" max="12730" width="12.28515625" style="366" customWidth="1"/>
    <col min="12731" max="12731" width="12.42578125" style="366" customWidth="1"/>
    <col min="12732" max="12732" width="15.5703125" style="366" customWidth="1"/>
    <col min="12733" max="12733" width="14.42578125" style="366" customWidth="1"/>
    <col min="12734" max="12735" width="14.7109375" style="366" customWidth="1"/>
    <col min="12736" max="12736" width="20.7109375" style="366" customWidth="1"/>
    <col min="12737" max="12737" width="20.28515625" style="366" customWidth="1"/>
    <col min="12738" max="12740" width="6.7109375" style="366" customWidth="1"/>
    <col min="12741" max="12741" width="12.7109375" style="366" customWidth="1"/>
    <col min="12742" max="12742" width="10.5703125" style="366" customWidth="1"/>
    <col min="12743" max="12743" width="11.28515625" style="366" customWidth="1"/>
    <col min="12744" max="12745" width="10.5703125" style="366" customWidth="1"/>
    <col min="12746" max="12746" width="13.5703125" style="366" customWidth="1"/>
    <col min="12747" max="12747" width="11.7109375" style="366" customWidth="1"/>
    <col min="12748" max="12748" width="8.5703125" style="366" customWidth="1"/>
    <col min="12749" max="12749" width="10.28515625" style="366" customWidth="1"/>
    <col min="12750" max="12759" width="10.5703125" style="366" customWidth="1"/>
    <col min="12760" max="12761" width="9" style="366" customWidth="1"/>
    <col min="12762" max="12762" width="9.7109375" style="366" customWidth="1"/>
    <col min="12763" max="12763" width="11.7109375" style="366" customWidth="1"/>
    <col min="12764" max="12766" width="10.5703125" style="366" customWidth="1"/>
    <col min="12767" max="12767" width="10" style="366" customWidth="1"/>
    <col min="12768" max="12769" width="9.28515625" style="366"/>
    <col min="12770" max="12770" width="11.42578125" style="366" customWidth="1"/>
    <col min="12771" max="12795" width="6.5703125" style="366" customWidth="1"/>
    <col min="12796" max="12796" width="13.28515625" style="366" customWidth="1"/>
    <col min="12797" max="12797" width="11.5703125" style="366" customWidth="1"/>
    <col min="12798" max="12799" width="13.7109375" style="366" customWidth="1"/>
    <col min="12800" max="12807" width="9.28515625" style="366"/>
    <col min="12808" max="12808" width="10" style="366" bestFit="1" customWidth="1"/>
    <col min="12809" max="12809" width="9.28515625" style="366"/>
    <col min="12810" max="12810" width="10" style="366" bestFit="1" customWidth="1"/>
    <col min="12811" max="12818" width="9.28515625" style="366"/>
    <col min="12819" max="12819" width="11.42578125" style="366" customWidth="1"/>
    <col min="12820" max="12978" width="9.28515625" style="366"/>
    <col min="12979" max="12979" width="4.42578125" style="366" bestFit="1" customWidth="1"/>
    <col min="12980" max="12980" width="41.7109375" style="366" customWidth="1"/>
    <col min="12981" max="12981" width="11.28515625" style="366" customWidth="1"/>
    <col min="12982" max="12985" width="15.42578125" style="366" customWidth="1"/>
    <col min="12986" max="12986" width="12.28515625" style="366" customWidth="1"/>
    <col min="12987" max="12987" width="12.42578125" style="366" customWidth="1"/>
    <col min="12988" max="12988" width="15.5703125" style="366" customWidth="1"/>
    <col min="12989" max="12989" width="14.42578125" style="366" customWidth="1"/>
    <col min="12990" max="12991" width="14.7109375" style="366" customWidth="1"/>
    <col min="12992" max="12992" width="20.7109375" style="366" customWidth="1"/>
    <col min="12993" max="12993" width="20.28515625" style="366" customWidth="1"/>
    <col min="12994" max="12996" width="6.7109375" style="366" customWidth="1"/>
    <col min="12997" max="12997" width="12.7109375" style="366" customWidth="1"/>
    <col min="12998" max="12998" width="10.5703125" style="366" customWidth="1"/>
    <col min="12999" max="12999" width="11.28515625" style="366" customWidth="1"/>
    <col min="13000" max="13001" width="10.5703125" style="366" customWidth="1"/>
    <col min="13002" max="13002" width="13.5703125" style="366" customWidth="1"/>
    <col min="13003" max="13003" width="11.7109375" style="366" customWidth="1"/>
    <col min="13004" max="13004" width="8.5703125" style="366" customWidth="1"/>
    <col min="13005" max="13005" width="10.28515625" style="366" customWidth="1"/>
    <col min="13006" max="13015" width="10.5703125" style="366" customWidth="1"/>
    <col min="13016" max="13017" width="9" style="366" customWidth="1"/>
    <col min="13018" max="13018" width="9.7109375" style="366" customWidth="1"/>
    <col min="13019" max="13019" width="11.7109375" style="366" customWidth="1"/>
    <col min="13020" max="13022" width="10.5703125" style="366" customWidth="1"/>
    <col min="13023" max="13023" width="10" style="366" customWidth="1"/>
    <col min="13024" max="13025" width="9.28515625" style="366"/>
    <col min="13026" max="13026" width="11.42578125" style="366" customWidth="1"/>
    <col min="13027" max="13051" width="6.5703125" style="366" customWidth="1"/>
    <col min="13052" max="13052" width="13.28515625" style="366" customWidth="1"/>
    <col min="13053" max="13053" width="11.5703125" style="366" customWidth="1"/>
    <col min="13054" max="13055" width="13.7109375" style="366" customWidth="1"/>
    <col min="13056" max="13063" width="9.28515625" style="366"/>
    <col min="13064" max="13064" width="10" style="366" bestFit="1" customWidth="1"/>
    <col min="13065" max="13065" width="9.28515625" style="366"/>
    <col min="13066" max="13066" width="10" style="366" bestFit="1" customWidth="1"/>
    <col min="13067" max="13074" width="9.28515625" style="366"/>
    <col min="13075" max="13075" width="11.42578125" style="366" customWidth="1"/>
    <col min="13076" max="13234" width="9.28515625" style="366"/>
    <col min="13235" max="13235" width="4.42578125" style="366" bestFit="1" customWidth="1"/>
    <col min="13236" max="13236" width="41.7109375" style="366" customWidth="1"/>
    <col min="13237" max="13237" width="11.28515625" style="366" customWidth="1"/>
    <col min="13238" max="13241" width="15.42578125" style="366" customWidth="1"/>
    <col min="13242" max="13242" width="12.28515625" style="366" customWidth="1"/>
    <col min="13243" max="13243" width="12.42578125" style="366" customWidth="1"/>
    <col min="13244" max="13244" width="15.5703125" style="366" customWidth="1"/>
    <col min="13245" max="13245" width="14.42578125" style="366" customWidth="1"/>
    <col min="13246" max="13247" width="14.7109375" style="366" customWidth="1"/>
    <col min="13248" max="13248" width="20.7109375" style="366" customWidth="1"/>
    <col min="13249" max="13249" width="20.28515625" style="366" customWidth="1"/>
    <col min="13250" max="13252" width="6.7109375" style="366" customWidth="1"/>
    <col min="13253" max="13253" width="12.7109375" style="366" customWidth="1"/>
    <col min="13254" max="13254" width="10.5703125" style="366" customWidth="1"/>
    <col min="13255" max="13255" width="11.28515625" style="366" customWidth="1"/>
    <col min="13256" max="13257" width="10.5703125" style="366" customWidth="1"/>
    <col min="13258" max="13258" width="13.5703125" style="366" customWidth="1"/>
    <col min="13259" max="13259" width="11.7109375" style="366" customWidth="1"/>
    <col min="13260" max="13260" width="8.5703125" style="366" customWidth="1"/>
    <col min="13261" max="13261" width="10.28515625" style="366" customWidth="1"/>
    <col min="13262" max="13271" width="10.5703125" style="366" customWidth="1"/>
    <col min="13272" max="13273" width="9" style="366" customWidth="1"/>
    <col min="13274" max="13274" width="9.7109375" style="366" customWidth="1"/>
    <col min="13275" max="13275" width="11.7109375" style="366" customWidth="1"/>
    <col min="13276" max="13278" width="10.5703125" style="366" customWidth="1"/>
    <col min="13279" max="13279" width="10" style="366" customWidth="1"/>
    <col min="13280" max="13281" width="9.28515625" style="366"/>
    <col min="13282" max="13282" width="11.42578125" style="366" customWidth="1"/>
    <col min="13283" max="13307" width="6.5703125" style="366" customWidth="1"/>
    <col min="13308" max="13308" width="13.28515625" style="366" customWidth="1"/>
    <col min="13309" max="13309" width="11.5703125" style="366" customWidth="1"/>
    <col min="13310" max="13311" width="13.7109375" style="366" customWidth="1"/>
    <col min="13312" max="13319" width="9.28515625" style="366"/>
    <col min="13320" max="13320" width="10" style="366" bestFit="1" customWidth="1"/>
    <col min="13321" max="13321" width="9.28515625" style="366"/>
    <col min="13322" max="13322" width="10" style="366" bestFit="1" customWidth="1"/>
    <col min="13323" max="13330" width="9.28515625" style="366"/>
    <col min="13331" max="13331" width="11.42578125" style="366" customWidth="1"/>
    <col min="13332" max="13490" width="9.28515625" style="366"/>
    <col min="13491" max="13491" width="4.42578125" style="366" bestFit="1" customWidth="1"/>
    <col min="13492" max="13492" width="41.7109375" style="366" customWidth="1"/>
    <col min="13493" max="13493" width="11.28515625" style="366" customWidth="1"/>
    <col min="13494" max="13497" width="15.42578125" style="366" customWidth="1"/>
    <col min="13498" max="13498" width="12.28515625" style="366" customWidth="1"/>
    <col min="13499" max="13499" width="12.42578125" style="366" customWidth="1"/>
    <col min="13500" max="13500" width="15.5703125" style="366" customWidth="1"/>
    <col min="13501" max="13501" width="14.42578125" style="366" customWidth="1"/>
    <col min="13502" max="13503" width="14.7109375" style="366" customWidth="1"/>
    <col min="13504" max="13504" width="20.7109375" style="366" customWidth="1"/>
    <col min="13505" max="13505" width="20.28515625" style="366" customWidth="1"/>
    <col min="13506" max="13508" width="6.7109375" style="366" customWidth="1"/>
    <col min="13509" max="13509" width="12.7109375" style="366" customWidth="1"/>
    <col min="13510" max="13510" width="10.5703125" style="366" customWidth="1"/>
    <col min="13511" max="13511" width="11.28515625" style="366" customWidth="1"/>
    <col min="13512" max="13513" width="10.5703125" style="366" customWidth="1"/>
    <col min="13514" max="13514" width="13.5703125" style="366" customWidth="1"/>
    <col min="13515" max="13515" width="11.7109375" style="366" customWidth="1"/>
    <col min="13516" max="13516" width="8.5703125" style="366" customWidth="1"/>
    <col min="13517" max="13517" width="10.28515625" style="366" customWidth="1"/>
    <col min="13518" max="13527" width="10.5703125" style="366" customWidth="1"/>
    <col min="13528" max="13529" width="9" style="366" customWidth="1"/>
    <col min="13530" max="13530" width="9.7109375" style="366" customWidth="1"/>
    <col min="13531" max="13531" width="11.7109375" style="366" customWidth="1"/>
    <col min="13532" max="13534" width="10.5703125" style="366" customWidth="1"/>
    <col min="13535" max="13535" width="10" style="366" customWidth="1"/>
    <col min="13536" max="13537" width="9.28515625" style="366"/>
    <col min="13538" max="13538" width="11.42578125" style="366" customWidth="1"/>
    <col min="13539" max="13563" width="6.5703125" style="366" customWidth="1"/>
    <col min="13564" max="13564" width="13.28515625" style="366" customWidth="1"/>
    <col min="13565" max="13565" width="11.5703125" style="366" customWidth="1"/>
    <col min="13566" max="13567" width="13.7109375" style="366" customWidth="1"/>
    <col min="13568" max="13575" width="9.28515625" style="366"/>
    <col min="13576" max="13576" width="10" style="366" bestFit="1" customWidth="1"/>
    <col min="13577" max="13577" width="9.28515625" style="366"/>
    <col min="13578" max="13578" width="10" style="366" bestFit="1" customWidth="1"/>
    <col min="13579" max="13586" width="9.28515625" style="366"/>
    <col min="13587" max="13587" width="11.42578125" style="366" customWidth="1"/>
    <col min="13588" max="13746" width="9.28515625" style="366"/>
    <col min="13747" max="13747" width="4.42578125" style="366" bestFit="1" customWidth="1"/>
    <col min="13748" max="13748" width="41.7109375" style="366" customWidth="1"/>
    <col min="13749" max="13749" width="11.28515625" style="366" customWidth="1"/>
    <col min="13750" max="13753" width="15.42578125" style="366" customWidth="1"/>
    <col min="13754" max="13754" width="12.28515625" style="366" customWidth="1"/>
    <col min="13755" max="13755" width="12.42578125" style="366" customWidth="1"/>
    <col min="13756" max="13756" width="15.5703125" style="366" customWidth="1"/>
    <col min="13757" max="13757" width="14.42578125" style="366" customWidth="1"/>
    <col min="13758" max="13759" width="14.7109375" style="366" customWidth="1"/>
    <col min="13760" max="13760" width="20.7109375" style="366" customWidth="1"/>
    <col min="13761" max="13761" width="20.28515625" style="366" customWidth="1"/>
    <col min="13762" max="13764" width="6.7109375" style="366" customWidth="1"/>
    <col min="13765" max="13765" width="12.7109375" style="366" customWidth="1"/>
    <col min="13766" max="13766" width="10.5703125" style="366" customWidth="1"/>
    <col min="13767" max="13767" width="11.28515625" style="366" customWidth="1"/>
    <col min="13768" max="13769" width="10.5703125" style="366" customWidth="1"/>
    <col min="13770" max="13770" width="13.5703125" style="366" customWidth="1"/>
    <col min="13771" max="13771" width="11.7109375" style="366" customWidth="1"/>
    <col min="13772" max="13772" width="8.5703125" style="366" customWidth="1"/>
    <col min="13773" max="13773" width="10.28515625" style="366" customWidth="1"/>
    <col min="13774" max="13783" width="10.5703125" style="366" customWidth="1"/>
    <col min="13784" max="13785" width="9" style="366" customWidth="1"/>
    <col min="13786" max="13786" width="9.7109375" style="366" customWidth="1"/>
    <col min="13787" max="13787" width="11.7109375" style="366" customWidth="1"/>
    <col min="13788" max="13790" width="10.5703125" style="366" customWidth="1"/>
    <col min="13791" max="13791" width="10" style="366" customWidth="1"/>
    <col min="13792" max="13793" width="9.28515625" style="366"/>
    <col min="13794" max="13794" width="11.42578125" style="366" customWidth="1"/>
    <col min="13795" max="13819" width="6.5703125" style="366" customWidth="1"/>
    <col min="13820" max="13820" width="13.28515625" style="366" customWidth="1"/>
    <col min="13821" max="13821" width="11.5703125" style="366" customWidth="1"/>
    <col min="13822" max="13823" width="13.7109375" style="366" customWidth="1"/>
    <col min="13824" max="13831" width="9.28515625" style="366"/>
    <col min="13832" max="13832" width="10" style="366" bestFit="1" customWidth="1"/>
    <col min="13833" max="13833" width="9.28515625" style="366"/>
    <col min="13834" max="13834" width="10" style="366" bestFit="1" customWidth="1"/>
    <col min="13835" max="13842" width="9.28515625" style="366"/>
    <col min="13843" max="13843" width="11.42578125" style="366" customWidth="1"/>
    <col min="13844" max="14002" width="9.28515625" style="366"/>
    <col min="14003" max="14003" width="4.42578125" style="366" bestFit="1" customWidth="1"/>
    <col min="14004" max="14004" width="41.7109375" style="366" customWidth="1"/>
    <col min="14005" max="14005" width="11.28515625" style="366" customWidth="1"/>
    <col min="14006" max="14009" width="15.42578125" style="366" customWidth="1"/>
    <col min="14010" max="14010" width="12.28515625" style="366" customWidth="1"/>
    <col min="14011" max="14011" width="12.42578125" style="366" customWidth="1"/>
    <col min="14012" max="14012" width="15.5703125" style="366" customWidth="1"/>
    <col min="14013" max="14013" width="14.42578125" style="366" customWidth="1"/>
    <col min="14014" max="14015" width="14.7109375" style="366" customWidth="1"/>
    <col min="14016" max="14016" width="20.7109375" style="366" customWidth="1"/>
    <col min="14017" max="14017" width="20.28515625" style="366" customWidth="1"/>
    <col min="14018" max="14020" width="6.7109375" style="366" customWidth="1"/>
    <col min="14021" max="14021" width="12.7109375" style="366" customWidth="1"/>
    <col min="14022" max="14022" width="10.5703125" style="366" customWidth="1"/>
    <col min="14023" max="14023" width="11.28515625" style="366" customWidth="1"/>
    <col min="14024" max="14025" width="10.5703125" style="366" customWidth="1"/>
    <col min="14026" max="14026" width="13.5703125" style="366" customWidth="1"/>
    <col min="14027" max="14027" width="11.7109375" style="366" customWidth="1"/>
    <col min="14028" max="14028" width="8.5703125" style="366" customWidth="1"/>
    <col min="14029" max="14029" width="10.28515625" style="366" customWidth="1"/>
    <col min="14030" max="14039" width="10.5703125" style="366" customWidth="1"/>
    <col min="14040" max="14041" width="9" style="366" customWidth="1"/>
    <col min="14042" max="14042" width="9.7109375" style="366" customWidth="1"/>
    <col min="14043" max="14043" width="11.7109375" style="366" customWidth="1"/>
    <col min="14044" max="14046" width="10.5703125" style="366" customWidth="1"/>
    <col min="14047" max="14047" width="10" style="366" customWidth="1"/>
    <col min="14048" max="14049" width="9.28515625" style="366"/>
    <col min="14050" max="14050" width="11.42578125" style="366" customWidth="1"/>
    <col min="14051" max="14075" width="6.5703125" style="366" customWidth="1"/>
    <col min="14076" max="14076" width="13.28515625" style="366" customWidth="1"/>
    <col min="14077" max="14077" width="11.5703125" style="366" customWidth="1"/>
    <col min="14078" max="14079" width="13.7109375" style="366" customWidth="1"/>
    <col min="14080" max="14087" width="9.28515625" style="366"/>
    <col min="14088" max="14088" width="10" style="366" bestFit="1" customWidth="1"/>
    <col min="14089" max="14089" width="9.28515625" style="366"/>
    <col min="14090" max="14090" width="10" style="366" bestFit="1" customWidth="1"/>
    <col min="14091" max="14098" width="9.28515625" style="366"/>
    <col min="14099" max="14099" width="11.42578125" style="366" customWidth="1"/>
    <col min="14100" max="14258" width="9.28515625" style="366"/>
    <col min="14259" max="14259" width="4.42578125" style="366" bestFit="1" customWidth="1"/>
    <col min="14260" max="14260" width="41.7109375" style="366" customWidth="1"/>
    <col min="14261" max="14261" width="11.28515625" style="366" customWidth="1"/>
    <col min="14262" max="14265" width="15.42578125" style="366" customWidth="1"/>
    <col min="14266" max="14266" width="12.28515625" style="366" customWidth="1"/>
    <col min="14267" max="14267" width="12.42578125" style="366" customWidth="1"/>
    <col min="14268" max="14268" width="15.5703125" style="366" customWidth="1"/>
    <col min="14269" max="14269" width="14.42578125" style="366" customWidth="1"/>
    <col min="14270" max="14271" width="14.7109375" style="366" customWidth="1"/>
    <col min="14272" max="14272" width="20.7109375" style="366" customWidth="1"/>
    <col min="14273" max="14273" width="20.28515625" style="366" customWidth="1"/>
    <col min="14274" max="14276" width="6.7109375" style="366" customWidth="1"/>
    <col min="14277" max="14277" width="12.7109375" style="366" customWidth="1"/>
    <col min="14278" max="14278" width="10.5703125" style="366" customWidth="1"/>
    <col min="14279" max="14279" width="11.28515625" style="366" customWidth="1"/>
    <col min="14280" max="14281" width="10.5703125" style="366" customWidth="1"/>
    <col min="14282" max="14282" width="13.5703125" style="366" customWidth="1"/>
    <col min="14283" max="14283" width="11.7109375" style="366" customWidth="1"/>
    <col min="14284" max="14284" width="8.5703125" style="366" customWidth="1"/>
    <col min="14285" max="14285" width="10.28515625" style="366" customWidth="1"/>
    <col min="14286" max="14295" width="10.5703125" style="366" customWidth="1"/>
    <col min="14296" max="14297" width="9" style="366" customWidth="1"/>
    <col min="14298" max="14298" width="9.7109375" style="366" customWidth="1"/>
    <col min="14299" max="14299" width="11.7109375" style="366" customWidth="1"/>
    <col min="14300" max="14302" width="10.5703125" style="366" customWidth="1"/>
    <col min="14303" max="14303" width="10" style="366" customWidth="1"/>
    <col min="14304" max="14305" width="9.28515625" style="366"/>
    <col min="14306" max="14306" width="11.42578125" style="366" customWidth="1"/>
    <col min="14307" max="14331" width="6.5703125" style="366" customWidth="1"/>
    <col min="14332" max="14332" width="13.28515625" style="366" customWidth="1"/>
    <col min="14333" max="14333" width="11.5703125" style="366" customWidth="1"/>
    <col min="14334" max="14335" width="13.7109375" style="366" customWidth="1"/>
    <col min="14336" max="14343" width="9.28515625" style="366"/>
    <col min="14344" max="14344" width="10" style="366" bestFit="1" customWidth="1"/>
    <col min="14345" max="14345" width="9.28515625" style="366"/>
    <col min="14346" max="14346" width="10" style="366" bestFit="1" customWidth="1"/>
    <col min="14347" max="14354" width="9.28515625" style="366"/>
    <col min="14355" max="14355" width="11.42578125" style="366" customWidth="1"/>
    <col min="14356" max="14514" width="9.28515625" style="366"/>
    <col min="14515" max="14515" width="4.42578125" style="366" bestFit="1" customWidth="1"/>
    <col min="14516" max="14516" width="41.7109375" style="366" customWidth="1"/>
    <col min="14517" max="14517" width="11.28515625" style="366" customWidth="1"/>
    <col min="14518" max="14521" width="15.42578125" style="366" customWidth="1"/>
    <col min="14522" max="14522" width="12.28515625" style="366" customWidth="1"/>
    <col min="14523" max="14523" width="12.42578125" style="366" customWidth="1"/>
    <col min="14524" max="14524" width="15.5703125" style="366" customWidth="1"/>
    <col min="14525" max="14525" width="14.42578125" style="366" customWidth="1"/>
    <col min="14526" max="14527" width="14.7109375" style="366" customWidth="1"/>
    <col min="14528" max="14528" width="20.7109375" style="366" customWidth="1"/>
    <col min="14529" max="14529" width="20.28515625" style="366" customWidth="1"/>
    <col min="14530" max="14532" width="6.7109375" style="366" customWidth="1"/>
    <col min="14533" max="14533" width="12.7109375" style="366" customWidth="1"/>
    <col min="14534" max="14534" width="10.5703125" style="366" customWidth="1"/>
    <col min="14535" max="14535" width="11.28515625" style="366" customWidth="1"/>
    <col min="14536" max="14537" width="10.5703125" style="366" customWidth="1"/>
    <col min="14538" max="14538" width="13.5703125" style="366" customWidth="1"/>
    <col min="14539" max="14539" width="11.7109375" style="366" customWidth="1"/>
    <col min="14540" max="14540" width="8.5703125" style="366" customWidth="1"/>
    <col min="14541" max="14541" width="10.28515625" style="366" customWidth="1"/>
    <col min="14542" max="14551" width="10.5703125" style="366" customWidth="1"/>
    <col min="14552" max="14553" width="9" style="366" customWidth="1"/>
    <col min="14554" max="14554" width="9.7109375" style="366" customWidth="1"/>
    <col min="14555" max="14555" width="11.7109375" style="366" customWidth="1"/>
    <col min="14556" max="14558" width="10.5703125" style="366" customWidth="1"/>
    <col min="14559" max="14559" width="10" style="366" customWidth="1"/>
    <col min="14560" max="14561" width="9.28515625" style="366"/>
    <col min="14562" max="14562" width="11.42578125" style="366" customWidth="1"/>
    <col min="14563" max="14587" width="6.5703125" style="366" customWidth="1"/>
    <col min="14588" max="14588" width="13.28515625" style="366" customWidth="1"/>
    <col min="14589" max="14589" width="11.5703125" style="366" customWidth="1"/>
    <col min="14590" max="14591" width="13.7109375" style="366" customWidth="1"/>
    <col min="14592" max="14599" width="9.28515625" style="366"/>
    <col min="14600" max="14600" width="10" style="366" bestFit="1" customWidth="1"/>
    <col min="14601" max="14601" width="9.28515625" style="366"/>
    <col min="14602" max="14602" width="10" style="366" bestFit="1" customWidth="1"/>
    <col min="14603" max="14610" width="9.28515625" style="366"/>
    <col min="14611" max="14611" width="11.42578125" style="366" customWidth="1"/>
    <col min="14612" max="14770" width="9.28515625" style="366"/>
    <col min="14771" max="14771" width="4.42578125" style="366" bestFit="1" customWidth="1"/>
    <col min="14772" max="14772" width="41.7109375" style="366" customWidth="1"/>
    <col min="14773" max="14773" width="11.28515625" style="366" customWidth="1"/>
    <col min="14774" max="14777" width="15.42578125" style="366" customWidth="1"/>
    <col min="14778" max="14778" width="12.28515625" style="366" customWidth="1"/>
    <col min="14779" max="14779" width="12.42578125" style="366" customWidth="1"/>
    <col min="14780" max="14780" width="15.5703125" style="366" customWidth="1"/>
    <col min="14781" max="14781" width="14.42578125" style="366" customWidth="1"/>
    <col min="14782" max="14783" width="14.7109375" style="366" customWidth="1"/>
    <col min="14784" max="14784" width="20.7109375" style="366" customWidth="1"/>
    <col min="14785" max="14785" width="20.28515625" style="366" customWidth="1"/>
    <col min="14786" max="14788" width="6.7109375" style="366" customWidth="1"/>
    <col min="14789" max="14789" width="12.7109375" style="366" customWidth="1"/>
    <col min="14790" max="14790" width="10.5703125" style="366" customWidth="1"/>
    <col min="14791" max="14791" width="11.28515625" style="366" customWidth="1"/>
    <col min="14792" max="14793" width="10.5703125" style="366" customWidth="1"/>
    <col min="14794" max="14794" width="13.5703125" style="366" customWidth="1"/>
    <col min="14795" max="14795" width="11.7109375" style="366" customWidth="1"/>
    <col min="14796" max="14796" width="8.5703125" style="366" customWidth="1"/>
    <col min="14797" max="14797" width="10.28515625" style="366" customWidth="1"/>
    <col min="14798" max="14807" width="10.5703125" style="366" customWidth="1"/>
    <col min="14808" max="14809" width="9" style="366" customWidth="1"/>
    <col min="14810" max="14810" width="9.7109375" style="366" customWidth="1"/>
    <col min="14811" max="14811" width="11.7109375" style="366" customWidth="1"/>
    <col min="14812" max="14814" width="10.5703125" style="366" customWidth="1"/>
    <col min="14815" max="14815" width="10" style="366" customWidth="1"/>
    <col min="14816" max="14817" width="9.28515625" style="366"/>
    <col min="14818" max="14818" width="11.42578125" style="366" customWidth="1"/>
    <col min="14819" max="14843" width="6.5703125" style="366" customWidth="1"/>
    <col min="14844" max="14844" width="13.28515625" style="366" customWidth="1"/>
    <col min="14845" max="14845" width="11.5703125" style="366" customWidth="1"/>
    <col min="14846" max="14847" width="13.7109375" style="366" customWidth="1"/>
    <col min="14848" max="14855" width="9.28515625" style="366"/>
    <col min="14856" max="14856" width="10" style="366" bestFit="1" customWidth="1"/>
    <col min="14857" max="14857" width="9.28515625" style="366"/>
    <col min="14858" max="14858" width="10" style="366" bestFit="1" customWidth="1"/>
    <col min="14859" max="14866" width="9.28515625" style="366"/>
    <col min="14867" max="14867" width="11.42578125" style="366" customWidth="1"/>
    <col min="14868" max="15026" width="9.28515625" style="366"/>
    <col min="15027" max="15027" width="4.42578125" style="366" bestFit="1" customWidth="1"/>
    <col min="15028" max="15028" width="41.7109375" style="366" customWidth="1"/>
    <col min="15029" max="15029" width="11.28515625" style="366" customWidth="1"/>
    <col min="15030" max="15033" width="15.42578125" style="366" customWidth="1"/>
    <col min="15034" max="15034" width="12.28515625" style="366" customWidth="1"/>
    <col min="15035" max="15035" width="12.42578125" style="366" customWidth="1"/>
    <col min="15036" max="15036" width="15.5703125" style="366" customWidth="1"/>
    <col min="15037" max="15037" width="14.42578125" style="366" customWidth="1"/>
    <col min="15038" max="15039" width="14.7109375" style="366" customWidth="1"/>
    <col min="15040" max="15040" width="20.7109375" style="366" customWidth="1"/>
    <col min="15041" max="15041" width="20.28515625" style="366" customWidth="1"/>
    <col min="15042" max="15044" width="6.7109375" style="366" customWidth="1"/>
    <col min="15045" max="15045" width="12.7109375" style="366" customWidth="1"/>
    <col min="15046" max="15046" width="10.5703125" style="366" customWidth="1"/>
    <col min="15047" max="15047" width="11.28515625" style="366" customWidth="1"/>
    <col min="15048" max="15049" width="10.5703125" style="366" customWidth="1"/>
    <col min="15050" max="15050" width="13.5703125" style="366" customWidth="1"/>
    <col min="15051" max="15051" width="11.7109375" style="366" customWidth="1"/>
    <col min="15052" max="15052" width="8.5703125" style="366" customWidth="1"/>
    <col min="15053" max="15053" width="10.28515625" style="366" customWidth="1"/>
    <col min="15054" max="15063" width="10.5703125" style="366" customWidth="1"/>
    <col min="15064" max="15065" width="9" style="366" customWidth="1"/>
    <col min="15066" max="15066" width="9.7109375" style="366" customWidth="1"/>
    <col min="15067" max="15067" width="11.7109375" style="366" customWidth="1"/>
    <col min="15068" max="15070" width="10.5703125" style="366" customWidth="1"/>
    <col min="15071" max="15071" width="10" style="366" customWidth="1"/>
    <col min="15072" max="15073" width="9.28515625" style="366"/>
    <col min="15074" max="15074" width="11.42578125" style="366" customWidth="1"/>
    <col min="15075" max="15099" width="6.5703125" style="366" customWidth="1"/>
    <col min="15100" max="15100" width="13.28515625" style="366" customWidth="1"/>
    <col min="15101" max="15101" width="11.5703125" style="366" customWidth="1"/>
    <col min="15102" max="15103" width="13.7109375" style="366" customWidth="1"/>
    <col min="15104" max="15111" width="9.28515625" style="366"/>
    <col min="15112" max="15112" width="10" style="366" bestFit="1" customWidth="1"/>
    <col min="15113" max="15113" width="9.28515625" style="366"/>
    <col min="15114" max="15114" width="10" style="366" bestFit="1" customWidth="1"/>
    <col min="15115" max="15122" width="9.28515625" style="366"/>
    <col min="15123" max="15123" width="11.42578125" style="366" customWidth="1"/>
    <col min="15124" max="15282" width="9.28515625" style="366"/>
    <col min="15283" max="15283" width="4.42578125" style="366" bestFit="1" customWidth="1"/>
    <col min="15284" max="15284" width="41.7109375" style="366" customWidth="1"/>
    <col min="15285" max="15285" width="11.28515625" style="366" customWidth="1"/>
    <col min="15286" max="15289" width="15.42578125" style="366" customWidth="1"/>
    <col min="15290" max="15290" width="12.28515625" style="366" customWidth="1"/>
    <col min="15291" max="15291" width="12.42578125" style="366" customWidth="1"/>
    <col min="15292" max="15292" width="15.5703125" style="366" customWidth="1"/>
    <col min="15293" max="15293" width="14.42578125" style="366" customWidth="1"/>
    <col min="15294" max="15295" width="14.7109375" style="366" customWidth="1"/>
    <col min="15296" max="15296" width="20.7109375" style="366" customWidth="1"/>
    <col min="15297" max="15297" width="20.28515625" style="366" customWidth="1"/>
    <col min="15298" max="15300" width="6.7109375" style="366" customWidth="1"/>
    <col min="15301" max="15301" width="12.7109375" style="366" customWidth="1"/>
    <col min="15302" max="15302" width="10.5703125" style="366" customWidth="1"/>
    <col min="15303" max="15303" width="11.28515625" style="366" customWidth="1"/>
    <col min="15304" max="15305" width="10.5703125" style="366" customWidth="1"/>
    <col min="15306" max="15306" width="13.5703125" style="366" customWidth="1"/>
    <col min="15307" max="15307" width="11.7109375" style="366" customWidth="1"/>
    <col min="15308" max="15308" width="8.5703125" style="366" customWidth="1"/>
    <col min="15309" max="15309" width="10.28515625" style="366" customWidth="1"/>
    <col min="15310" max="15319" width="10.5703125" style="366" customWidth="1"/>
    <col min="15320" max="15321" width="9" style="366" customWidth="1"/>
    <col min="15322" max="15322" width="9.7109375" style="366" customWidth="1"/>
    <col min="15323" max="15323" width="11.7109375" style="366" customWidth="1"/>
    <col min="15324" max="15326" width="10.5703125" style="366" customWidth="1"/>
    <col min="15327" max="15327" width="10" style="366" customWidth="1"/>
    <col min="15328" max="15329" width="9.28515625" style="366"/>
    <col min="15330" max="15330" width="11.42578125" style="366" customWidth="1"/>
    <col min="15331" max="15355" width="6.5703125" style="366" customWidth="1"/>
    <col min="15356" max="15356" width="13.28515625" style="366" customWidth="1"/>
    <col min="15357" max="15357" width="11.5703125" style="366" customWidth="1"/>
    <col min="15358" max="15359" width="13.7109375" style="366" customWidth="1"/>
    <col min="15360" max="15367" width="9.28515625" style="366"/>
    <col min="15368" max="15368" width="10" style="366" bestFit="1" customWidth="1"/>
    <col min="15369" max="15369" width="9.28515625" style="366"/>
    <col min="15370" max="15370" width="10" style="366" bestFit="1" customWidth="1"/>
    <col min="15371" max="15378" width="9.28515625" style="366"/>
    <col min="15379" max="15379" width="11.42578125" style="366" customWidth="1"/>
    <col min="15380" max="15538" width="9.28515625" style="366"/>
    <col min="15539" max="15539" width="4.42578125" style="366" bestFit="1" customWidth="1"/>
    <col min="15540" max="15540" width="41.7109375" style="366" customWidth="1"/>
    <col min="15541" max="15541" width="11.28515625" style="366" customWidth="1"/>
    <col min="15542" max="15545" width="15.42578125" style="366" customWidth="1"/>
    <col min="15546" max="15546" width="12.28515625" style="366" customWidth="1"/>
    <col min="15547" max="15547" width="12.42578125" style="366" customWidth="1"/>
    <col min="15548" max="15548" width="15.5703125" style="366" customWidth="1"/>
    <col min="15549" max="15549" width="14.42578125" style="366" customWidth="1"/>
    <col min="15550" max="15551" width="14.7109375" style="366" customWidth="1"/>
    <col min="15552" max="15552" width="20.7109375" style="366" customWidth="1"/>
    <col min="15553" max="15553" width="20.28515625" style="366" customWidth="1"/>
    <col min="15554" max="15556" width="6.7109375" style="366" customWidth="1"/>
    <col min="15557" max="15557" width="12.7109375" style="366" customWidth="1"/>
    <col min="15558" max="15558" width="10.5703125" style="366" customWidth="1"/>
    <col min="15559" max="15559" width="11.28515625" style="366" customWidth="1"/>
    <col min="15560" max="15561" width="10.5703125" style="366" customWidth="1"/>
    <col min="15562" max="15562" width="13.5703125" style="366" customWidth="1"/>
    <col min="15563" max="15563" width="11.7109375" style="366" customWidth="1"/>
    <col min="15564" max="15564" width="8.5703125" style="366" customWidth="1"/>
    <col min="15565" max="15565" width="10.28515625" style="366" customWidth="1"/>
    <col min="15566" max="15575" width="10.5703125" style="366" customWidth="1"/>
    <col min="15576" max="15577" width="9" style="366" customWidth="1"/>
    <col min="15578" max="15578" width="9.7109375" style="366" customWidth="1"/>
    <col min="15579" max="15579" width="11.7109375" style="366" customWidth="1"/>
    <col min="15580" max="15582" width="10.5703125" style="366" customWidth="1"/>
    <col min="15583" max="15583" width="10" style="366" customWidth="1"/>
    <col min="15584" max="15585" width="9.28515625" style="366"/>
    <col min="15586" max="15586" width="11.42578125" style="366" customWidth="1"/>
    <col min="15587" max="15611" width="6.5703125" style="366" customWidth="1"/>
    <col min="15612" max="15612" width="13.28515625" style="366" customWidth="1"/>
    <col min="15613" max="15613" width="11.5703125" style="366" customWidth="1"/>
    <col min="15614" max="15615" width="13.7109375" style="366" customWidth="1"/>
    <col min="15616" max="15623" width="9.28515625" style="366"/>
    <col min="15624" max="15624" width="10" style="366" bestFit="1" customWidth="1"/>
    <col min="15625" max="15625" width="9.28515625" style="366"/>
    <col min="15626" max="15626" width="10" style="366" bestFit="1" customWidth="1"/>
    <col min="15627" max="15634" width="9.28515625" style="366"/>
    <col min="15635" max="15635" width="11.42578125" style="366" customWidth="1"/>
    <col min="15636" max="15794" width="9.28515625" style="366"/>
    <col min="15795" max="15795" width="4.42578125" style="366" bestFit="1" customWidth="1"/>
    <col min="15796" max="15796" width="41.7109375" style="366" customWidth="1"/>
    <col min="15797" max="15797" width="11.28515625" style="366" customWidth="1"/>
    <col min="15798" max="15801" width="15.42578125" style="366" customWidth="1"/>
    <col min="15802" max="15802" width="12.28515625" style="366" customWidth="1"/>
    <col min="15803" max="15803" width="12.42578125" style="366" customWidth="1"/>
    <col min="15804" max="15804" width="15.5703125" style="366" customWidth="1"/>
    <col min="15805" max="15805" width="14.42578125" style="366" customWidth="1"/>
    <col min="15806" max="15807" width="14.7109375" style="366" customWidth="1"/>
    <col min="15808" max="15808" width="20.7109375" style="366" customWidth="1"/>
    <col min="15809" max="15809" width="20.28515625" style="366" customWidth="1"/>
    <col min="15810" max="15812" width="6.7109375" style="366" customWidth="1"/>
    <col min="15813" max="15813" width="12.7109375" style="366" customWidth="1"/>
    <col min="15814" max="15814" width="10.5703125" style="366" customWidth="1"/>
    <col min="15815" max="15815" width="11.28515625" style="366" customWidth="1"/>
    <col min="15816" max="15817" width="10.5703125" style="366" customWidth="1"/>
    <col min="15818" max="15818" width="13.5703125" style="366" customWidth="1"/>
    <col min="15819" max="15819" width="11.7109375" style="366" customWidth="1"/>
    <col min="15820" max="15820" width="8.5703125" style="366" customWidth="1"/>
    <col min="15821" max="15821" width="10.28515625" style="366" customWidth="1"/>
    <col min="15822" max="15831" width="10.5703125" style="366" customWidth="1"/>
    <col min="15832" max="15833" width="9" style="366" customWidth="1"/>
    <col min="15834" max="15834" width="9.7109375" style="366" customWidth="1"/>
    <col min="15835" max="15835" width="11.7109375" style="366" customWidth="1"/>
    <col min="15836" max="15838" width="10.5703125" style="366" customWidth="1"/>
    <col min="15839" max="15839" width="10" style="366" customWidth="1"/>
    <col min="15840" max="15841" width="9.28515625" style="366"/>
    <col min="15842" max="15842" width="11.42578125" style="366" customWidth="1"/>
    <col min="15843" max="15867" width="6.5703125" style="366" customWidth="1"/>
    <col min="15868" max="15868" width="13.28515625" style="366" customWidth="1"/>
    <col min="15869" max="15869" width="11.5703125" style="366" customWidth="1"/>
    <col min="15870" max="15871" width="13.7109375" style="366" customWidth="1"/>
    <col min="15872" max="15879" width="9.28515625" style="366"/>
    <col min="15880" max="15880" width="10" style="366" bestFit="1" customWidth="1"/>
    <col min="15881" max="15881" width="9.28515625" style="366"/>
    <col min="15882" max="15882" width="10" style="366" bestFit="1" customWidth="1"/>
    <col min="15883" max="15890" width="9.28515625" style="366"/>
    <col min="15891" max="15891" width="11.42578125" style="366" customWidth="1"/>
    <col min="15892" max="16050" width="9.28515625" style="366"/>
    <col min="16051" max="16051" width="4.42578125" style="366" bestFit="1" customWidth="1"/>
    <col min="16052" max="16052" width="41.7109375" style="366" customWidth="1"/>
    <col min="16053" max="16053" width="11.28515625" style="366" customWidth="1"/>
    <col min="16054" max="16057" width="15.42578125" style="366" customWidth="1"/>
    <col min="16058" max="16058" width="12.28515625" style="366" customWidth="1"/>
    <col min="16059" max="16059" width="12.42578125" style="366" customWidth="1"/>
    <col min="16060" max="16060" width="15.5703125" style="366" customWidth="1"/>
    <col min="16061" max="16061" width="14.42578125" style="366" customWidth="1"/>
    <col min="16062" max="16063" width="14.7109375" style="366" customWidth="1"/>
    <col min="16064" max="16064" width="20.7109375" style="366" customWidth="1"/>
    <col min="16065" max="16065" width="20.28515625" style="366" customWidth="1"/>
    <col min="16066" max="16068" width="6.7109375" style="366" customWidth="1"/>
    <col min="16069" max="16069" width="12.7109375" style="366" customWidth="1"/>
    <col min="16070" max="16070" width="10.5703125" style="366" customWidth="1"/>
    <col min="16071" max="16071" width="11.28515625" style="366" customWidth="1"/>
    <col min="16072" max="16073" width="10.5703125" style="366" customWidth="1"/>
    <col min="16074" max="16074" width="13.5703125" style="366" customWidth="1"/>
    <col min="16075" max="16075" width="11.7109375" style="366" customWidth="1"/>
    <col min="16076" max="16076" width="8.5703125" style="366" customWidth="1"/>
    <col min="16077" max="16077" width="10.28515625" style="366" customWidth="1"/>
    <col min="16078" max="16087" width="10.5703125" style="366" customWidth="1"/>
    <col min="16088" max="16089" width="9" style="366" customWidth="1"/>
    <col min="16090" max="16090" width="9.7109375" style="366" customWidth="1"/>
    <col min="16091" max="16091" width="11.7109375" style="366" customWidth="1"/>
    <col min="16092" max="16094" width="10.5703125" style="366" customWidth="1"/>
    <col min="16095" max="16095" width="10" style="366" customWidth="1"/>
    <col min="16096" max="16097" width="9.28515625" style="366"/>
    <col min="16098" max="16098" width="11.42578125" style="366" customWidth="1"/>
    <col min="16099" max="16123" width="6.5703125" style="366" customWidth="1"/>
    <col min="16124" max="16124" width="13.28515625" style="366" customWidth="1"/>
    <col min="16125" max="16125" width="11.5703125" style="366" customWidth="1"/>
    <col min="16126" max="16127" width="13.7109375" style="366" customWidth="1"/>
    <col min="16128" max="16135" width="9.28515625" style="366"/>
    <col min="16136" max="16136" width="10" style="366" bestFit="1" customWidth="1"/>
    <col min="16137" max="16137" width="9.28515625" style="366"/>
    <col min="16138" max="16138" width="10" style="366" bestFit="1" customWidth="1"/>
    <col min="16139" max="16146" width="9.28515625" style="366"/>
    <col min="16147" max="16147" width="11.42578125" style="366" customWidth="1"/>
    <col min="16148" max="16384" width="9.28515625" style="366"/>
  </cols>
  <sheetData>
    <row r="1" spans="1:68" s="353" customFormat="1">
      <c r="BP1" s="353" t="s">
        <v>629</v>
      </c>
    </row>
    <row r="2" spans="1:68" s="353" customFormat="1">
      <c r="A2" s="1457" t="s">
        <v>630</v>
      </c>
      <c r="B2" s="1457"/>
      <c r="C2" s="1457"/>
      <c r="D2" s="1457"/>
      <c r="E2" s="1457"/>
      <c r="F2" s="1457"/>
      <c r="G2" s="1457"/>
      <c r="H2" s="1457"/>
      <c r="I2" s="1457"/>
      <c r="J2" s="1457"/>
      <c r="K2" s="1457"/>
      <c r="L2" s="1457"/>
      <c r="M2" s="1457"/>
      <c r="N2" s="1457"/>
      <c r="O2" s="1457"/>
      <c r="P2" s="1457"/>
      <c r="Q2" s="1457"/>
      <c r="R2" s="1457"/>
      <c r="S2" s="1457"/>
      <c r="T2" s="1457"/>
      <c r="U2" s="1457"/>
      <c r="V2" s="1457"/>
      <c r="W2" s="1457"/>
      <c r="X2" s="1457"/>
      <c r="Y2" s="1457"/>
      <c r="Z2" s="1457"/>
      <c r="AA2" s="1457"/>
      <c r="AB2" s="1457"/>
      <c r="AC2" s="1457"/>
      <c r="AD2" s="1457"/>
      <c r="AE2" s="1457"/>
      <c r="AF2" s="1457"/>
      <c r="AG2" s="1457"/>
      <c r="AH2" s="1457"/>
      <c r="AI2" s="1457"/>
      <c r="AJ2" s="1457"/>
      <c r="AK2" s="1457"/>
      <c r="AL2" s="1457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</row>
    <row r="3" spans="1:68" s="353" customFormat="1">
      <c r="A3" s="353" t="str">
        <f>ปร.6!A4&amp;ปร.6!C4</f>
        <v>ชื่อโครงการโครงการปรับปรุงอาคาร 11 มหาวิทยาลัยเทคโนโลยีราชมงคลอีสาน วิทยาเขตขอนแก่น</v>
      </c>
    </row>
    <row r="4" spans="1:68" s="353" customFormat="1">
      <c r="A4" s="353" t="str">
        <f>ปร.6!A5&amp;ปร.6!C5</f>
        <v>สถานที่ก่อสร้างมหาวิทยาลัยเทคโนโลยีราชมงคลอีสาน วิทยาเขตขอนแก่น ต.ในเมือง อ.เมืองขอนแก่น จ.ขอนแก่น</v>
      </c>
    </row>
    <row r="5" spans="1:68" s="353" customFormat="1">
      <c r="A5" s="353" t="str">
        <f>ปร.6!A6&amp;ปร.6!C6</f>
        <v>แบบเลขที่-</v>
      </c>
    </row>
    <row r="6" spans="1:68" s="353" customFormat="1">
      <c r="A6" s="353" t="str">
        <f>ปร.6!A7&amp;ปร.6!C7</f>
        <v>เจ้าของโครงการมหาวิทยาลัยเทคโนโลยีราชมงคลอีสาน วิทยาเขตขอนแก่น</v>
      </c>
    </row>
    <row r="8" spans="1:68" s="356" customFormat="1">
      <c r="A8" s="1458" t="s">
        <v>131</v>
      </c>
      <c r="B8" s="1458" t="s">
        <v>1</v>
      </c>
      <c r="C8" s="1459" t="s">
        <v>377</v>
      </c>
      <c r="D8" s="1459"/>
      <c r="E8" s="1459"/>
      <c r="F8" s="1459"/>
      <c r="G8" s="1459"/>
      <c r="H8" s="1459"/>
      <c r="I8" s="1459"/>
      <c r="J8" s="1459"/>
      <c r="K8" s="1459"/>
      <c r="L8" s="1459"/>
      <c r="M8" s="1459"/>
      <c r="N8" s="1459"/>
      <c r="O8" s="1459"/>
      <c r="P8" s="360"/>
      <c r="Q8" s="1460" t="s">
        <v>86</v>
      </c>
      <c r="R8" s="1461"/>
      <c r="S8" s="1461"/>
      <c r="T8" s="1462"/>
      <c r="U8" s="1459" t="s">
        <v>150</v>
      </c>
      <c r="V8" s="1459"/>
      <c r="W8" s="1459"/>
      <c r="X8" s="1459" t="s">
        <v>100</v>
      </c>
      <c r="Y8" s="1459"/>
      <c r="Z8" s="1463" t="s">
        <v>87</v>
      </c>
      <c r="AA8" s="1464"/>
      <c r="AB8" s="1464"/>
      <c r="AC8" s="1465"/>
      <c r="AD8" s="1466" t="s">
        <v>378</v>
      </c>
      <c r="AE8" s="1466"/>
      <c r="AF8" s="1466"/>
      <c r="AG8" s="1466"/>
      <c r="AH8" s="1459" t="s">
        <v>136</v>
      </c>
      <c r="AI8" s="1459"/>
      <c r="AJ8" s="1459"/>
      <c r="AK8" s="1459"/>
      <c r="AL8" s="1459"/>
      <c r="AM8" s="354"/>
      <c r="AN8" s="354"/>
      <c r="AO8" s="354"/>
      <c r="AP8" s="354"/>
      <c r="AQ8" s="354"/>
      <c r="AR8" s="354"/>
      <c r="AS8" s="354"/>
      <c r="AT8" s="354"/>
      <c r="AU8" s="354"/>
      <c r="AV8" s="354"/>
    </row>
    <row r="9" spans="1:68" s="356" customFormat="1">
      <c r="A9" s="1458"/>
      <c r="B9" s="1458"/>
      <c r="C9" s="357" t="s">
        <v>652</v>
      </c>
      <c r="D9" s="357" t="s">
        <v>653</v>
      </c>
      <c r="E9" s="357" t="s">
        <v>654</v>
      </c>
      <c r="F9" s="357" t="s">
        <v>140</v>
      </c>
      <c r="G9" s="357" t="s">
        <v>141</v>
      </c>
      <c r="H9" s="357" t="s">
        <v>142</v>
      </c>
      <c r="I9" s="357" t="s">
        <v>143</v>
      </c>
      <c r="J9" s="357" t="s">
        <v>144</v>
      </c>
      <c r="K9" s="357" t="s">
        <v>290</v>
      </c>
      <c r="L9" s="357" t="s">
        <v>627</v>
      </c>
      <c r="M9" s="357" t="s">
        <v>628</v>
      </c>
      <c r="N9" s="358"/>
      <c r="O9" s="358"/>
      <c r="P9" s="429"/>
      <c r="Q9" s="359" t="s">
        <v>50</v>
      </c>
      <c r="R9" s="360" t="s">
        <v>57</v>
      </c>
      <c r="S9" s="360" t="s">
        <v>58</v>
      </c>
      <c r="T9" s="360" t="s">
        <v>53</v>
      </c>
      <c r="U9" s="361" t="s">
        <v>384</v>
      </c>
      <c r="V9" s="361" t="s">
        <v>632</v>
      </c>
      <c r="W9" s="361" t="s">
        <v>633</v>
      </c>
      <c r="X9" s="361">
        <v>3</v>
      </c>
      <c r="Y9" s="361"/>
      <c r="Z9" s="361" t="s">
        <v>158</v>
      </c>
      <c r="AA9" s="361" t="s">
        <v>159</v>
      </c>
      <c r="AB9" s="361" t="s">
        <v>160</v>
      </c>
      <c r="AC9" s="361" t="s">
        <v>161</v>
      </c>
      <c r="AD9" s="355">
        <v>2</v>
      </c>
      <c r="AE9" s="355">
        <v>145</v>
      </c>
      <c r="AF9" s="355" t="s">
        <v>650</v>
      </c>
      <c r="AG9" s="362" t="s">
        <v>382</v>
      </c>
      <c r="AH9" s="361" t="s">
        <v>379</v>
      </c>
      <c r="AI9" s="361" t="s">
        <v>138</v>
      </c>
      <c r="AJ9" s="361" t="s">
        <v>380</v>
      </c>
      <c r="AK9" s="361" t="s">
        <v>651</v>
      </c>
      <c r="AL9" s="361" t="s">
        <v>381</v>
      </c>
      <c r="AM9" s="354"/>
      <c r="AN9" s="354"/>
      <c r="AO9" s="354"/>
      <c r="AP9" s="354"/>
      <c r="AQ9" s="354"/>
      <c r="AR9" s="354"/>
      <c r="AS9" s="354"/>
      <c r="AT9" s="354"/>
      <c r="AU9" s="354"/>
      <c r="AV9" s="354"/>
    </row>
    <row r="10" spans="1:68" s="356" customFormat="1" ht="120">
      <c r="A10" s="1458"/>
      <c r="B10" s="1458"/>
      <c r="C10" s="357" t="s">
        <v>609</v>
      </c>
      <c r="D10" s="357" t="s">
        <v>610</v>
      </c>
      <c r="E10" s="357" t="s">
        <v>611</v>
      </c>
      <c r="F10" s="357" t="s">
        <v>612</v>
      </c>
      <c r="G10" s="357" t="s">
        <v>613</v>
      </c>
      <c r="H10" s="357" t="s">
        <v>554</v>
      </c>
      <c r="I10" s="357" t="s">
        <v>614</v>
      </c>
      <c r="J10" s="357" t="s">
        <v>600</v>
      </c>
      <c r="K10" s="357" t="s">
        <v>615</v>
      </c>
      <c r="L10" s="357" t="s">
        <v>616</v>
      </c>
      <c r="M10" s="357" t="s">
        <v>1065</v>
      </c>
      <c r="N10" s="357" t="s">
        <v>626</v>
      </c>
      <c r="O10" s="357" t="s">
        <v>280</v>
      </c>
      <c r="P10" s="430" t="s">
        <v>631</v>
      </c>
      <c r="Q10" s="363" t="s">
        <v>552</v>
      </c>
      <c r="R10" s="363" t="s">
        <v>553</v>
      </c>
      <c r="S10" s="363" t="s">
        <v>601</v>
      </c>
      <c r="T10" s="363" t="s">
        <v>602</v>
      </c>
      <c r="U10" s="357" t="s">
        <v>395</v>
      </c>
      <c r="V10" s="357" t="s">
        <v>396</v>
      </c>
      <c r="W10" s="357" t="s">
        <v>397</v>
      </c>
      <c r="X10" s="357" t="s">
        <v>605</v>
      </c>
      <c r="Y10" s="357"/>
      <c r="Z10" s="357" t="s">
        <v>88</v>
      </c>
      <c r="AA10" s="357" t="s">
        <v>296</v>
      </c>
      <c r="AB10" s="357" t="s">
        <v>117</v>
      </c>
      <c r="AC10" s="357" t="s">
        <v>606</v>
      </c>
      <c r="AD10" s="364" t="s">
        <v>603</v>
      </c>
      <c r="AE10" s="364" t="s">
        <v>604</v>
      </c>
      <c r="AF10" s="364" t="s">
        <v>99</v>
      </c>
      <c r="AG10" s="364" t="s">
        <v>398</v>
      </c>
      <c r="AH10" s="365"/>
      <c r="AI10" s="365"/>
      <c r="AJ10" s="365"/>
      <c r="AK10" s="361"/>
      <c r="AL10" s="365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</row>
    <row r="11" spans="1:68" s="356" customFormat="1">
      <c r="A11" s="1458"/>
      <c r="B11" s="361"/>
      <c r="C11" s="361" t="s">
        <v>219</v>
      </c>
      <c r="D11" s="361" t="s">
        <v>219</v>
      </c>
      <c r="E11" s="361" t="s">
        <v>219</v>
      </c>
      <c r="F11" s="361" t="s">
        <v>219</v>
      </c>
      <c r="G11" s="361" t="s">
        <v>219</v>
      </c>
      <c r="H11" s="361" t="s">
        <v>219</v>
      </c>
      <c r="I11" s="361" t="s">
        <v>219</v>
      </c>
      <c r="J11" s="361" t="s">
        <v>219</v>
      </c>
      <c r="K11" s="361" t="s">
        <v>219</v>
      </c>
      <c r="L11" s="361" t="s">
        <v>219</v>
      </c>
      <c r="M11" s="361" t="s">
        <v>219</v>
      </c>
      <c r="N11" s="361" t="s">
        <v>219</v>
      </c>
      <c r="O11" s="361" t="s">
        <v>219</v>
      </c>
      <c r="P11" s="360" t="s">
        <v>220</v>
      </c>
      <c r="Q11" s="360" t="s">
        <v>219</v>
      </c>
      <c r="R11" s="360" t="s">
        <v>219</v>
      </c>
      <c r="S11" s="360" t="s">
        <v>219</v>
      </c>
      <c r="T11" s="360" t="s">
        <v>219</v>
      </c>
      <c r="U11" s="361" t="s">
        <v>219</v>
      </c>
      <c r="V11" s="361" t="s">
        <v>219</v>
      </c>
      <c r="W11" s="361" t="s">
        <v>219</v>
      </c>
      <c r="X11" s="361" t="s">
        <v>219</v>
      </c>
      <c r="Y11" s="361" t="s">
        <v>219</v>
      </c>
      <c r="Z11" s="361" t="s">
        <v>219</v>
      </c>
      <c r="AA11" s="361" t="s">
        <v>219</v>
      </c>
      <c r="AB11" s="361" t="s">
        <v>219</v>
      </c>
      <c r="AC11" s="361" t="s">
        <v>219</v>
      </c>
      <c r="AD11" s="355" t="s">
        <v>219</v>
      </c>
      <c r="AE11" s="355" t="s">
        <v>219</v>
      </c>
      <c r="AF11" s="355" t="s">
        <v>219</v>
      </c>
      <c r="AG11" s="355" t="s">
        <v>219</v>
      </c>
      <c r="AH11" s="361" t="s">
        <v>385</v>
      </c>
      <c r="AI11" s="361" t="s">
        <v>385</v>
      </c>
      <c r="AJ11" s="361" t="s">
        <v>386</v>
      </c>
      <c r="AK11" s="361" t="s">
        <v>386</v>
      </c>
      <c r="AL11" s="361" t="s">
        <v>385</v>
      </c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</row>
    <row r="12" spans="1:68" s="366" customFormat="1">
      <c r="A12" s="390"/>
      <c r="B12" s="391" t="s">
        <v>387</v>
      </c>
      <c r="C12" s="392"/>
      <c r="D12" s="51"/>
      <c r="E12" s="51"/>
      <c r="F12" s="51"/>
      <c r="G12" s="51"/>
      <c r="H12" s="51"/>
      <c r="I12" s="392"/>
      <c r="J12" s="392"/>
      <c r="K12" s="392"/>
      <c r="L12" s="392"/>
      <c r="M12" s="392"/>
      <c r="N12" s="51"/>
      <c r="O12" s="51">
        <f>K12</f>
        <v>0</v>
      </c>
      <c r="P12" s="38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46">
        <f>SUM(Z12:AB12)</f>
        <v>0</v>
      </c>
      <c r="AG12" s="392">
        <f>J12</f>
        <v>0</v>
      </c>
      <c r="AH12" s="392"/>
      <c r="AI12" s="392"/>
      <c r="AJ12" s="392"/>
      <c r="AK12" s="392"/>
      <c r="AL12" s="392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</row>
    <row r="13" spans="1:68" s="366" customFormat="1">
      <c r="A13" s="367"/>
      <c r="B13" s="393" t="s">
        <v>377</v>
      </c>
      <c r="C13" s="51">
        <v>102</v>
      </c>
      <c r="D13" s="51">
        <v>96</v>
      </c>
      <c r="E13" s="51">
        <v>60</v>
      </c>
      <c r="F13" s="51">
        <v>163</v>
      </c>
      <c r="G13" s="51">
        <v>211</v>
      </c>
      <c r="H13" s="51">
        <v>66</v>
      </c>
      <c r="I13" s="51">
        <v>46</v>
      </c>
      <c r="J13" s="51"/>
      <c r="K13" s="51"/>
      <c r="L13" s="51">
        <v>28</v>
      </c>
      <c r="M13" s="51"/>
      <c r="N13" s="51"/>
      <c r="O13" s="51">
        <f t="shared" ref="O13:O46" si="0">K13</f>
        <v>0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46">
        <f t="shared" ref="AF13:AF46" si="1">SUM(Z13:AB13)</f>
        <v>0</v>
      </c>
      <c r="AG13" s="392">
        <f t="shared" ref="AG13:AG46" si="2">J13</f>
        <v>0</v>
      </c>
      <c r="AH13" s="51"/>
      <c r="AI13" s="51"/>
      <c r="AJ13" s="51"/>
      <c r="AK13" s="51"/>
      <c r="AL13" s="51"/>
      <c r="AM13" s="369"/>
      <c r="AN13" s="369"/>
      <c r="AO13" s="369"/>
      <c r="AP13" s="369"/>
      <c r="AQ13" s="369"/>
      <c r="AR13" s="369"/>
      <c r="AS13" s="369"/>
      <c r="AT13" s="369"/>
      <c r="AU13" s="369"/>
      <c r="AV13" s="353"/>
      <c r="AW13" s="353"/>
      <c r="AX13" s="353"/>
    </row>
    <row r="14" spans="1:68" s="366" customFormat="1">
      <c r="A14" s="367"/>
      <c r="B14" s="393" t="s">
        <v>383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>
        <f t="shared" si="0"/>
        <v>0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>
        <v>367</v>
      </c>
      <c r="AA14" s="51">
        <v>46</v>
      </c>
      <c r="AB14" s="51">
        <v>373</v>
      </c>
      <c r="AC14" s="51"/>
      <c r="AD14" s="51"/>
      <c r="AE14" s="51"/>
      <c r="AF14" s="46">
        <f t="shared" si="1"/>
        <v>786</v>
      </c>
      <c r="AG14" s="392">
        <f t="shared" si="2"/>
        <v>0</v>
      </c>
      <c r="AH14" s="51"/>
      <c r="AI14" s="51"/>
      <c r="AJ14" s="51"/>
      <c r="AK14" s="51"/>
      <c r="AL14" s="51"/>
      <c r="AM14" s="369"/>
      <c r="AN14" s="369"/>
      <c r="AO14" s="369"/>
      <c r="AP14" s="369"/>
      <c r="AQ14" s="369"/>
      <c r="AR14" s="369"/>
      <c r="AS14" s="369"/>
      <c r="AT14" s="369"/>
      <c r="AU14" s="369"/>
      <c r="AV14" s="353"/>
      <c r="AW14" s="353"/>
      <c r="AX14" s="353"/>
    </row>
    <row r="15" spans="1:68" s="366" customFormat="1">
      <c r="A15" s="367"/>
      <c r="B15" s="393" t="s">
        <v>617</v>
      </c>
      <c r="C15" s="51"/>
      <c r="D15" s="51"/>
      <c r="E15" s="51"/>
      <c r="F15" s="51">
        <f>ROUNDUP(25+1.35*7.3,0)</f>
        <v>35</v>
      </c>
      <c r="G15" s="51"/>
      <c r="H15" s="51"/>
      <c r="I15" s="51"/>
      <c r="J15" s="51"/>
      <c r="K15" s="51"/>
      <c r="L15" s="51"/>
      <c r="M15" s="51"/>
      <c r="N15" s="51"/>
      <c r="O15" s="51">
        <f t="shared" si="0"/>
        <v>0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46">
        <f t="shared" si="1"/>
        <v>0</v>
      </c>
      <c r="AG15" s="392">
        <f t="shared" si="2"/>
        <v>0</v>
      </c>
      <c r="AH15" s="51"/>
      <c r="AI15" s="51"/>
      <c r="AJ15" s="51"/>
      <c r="AK15" s="51"/>
      <c r="AL15" s="51"/>
      <c r="AM15" s="369"/>
      <c r="AN15" s="369"/>
      <c r="AO15" s="369"/>
      <c r="AP15" s="369"/>
      <c r="AQ15" s="369"/>
      <c r="AR15" s="369"/>
      <c r="AS15" s="369"/>
      <c r="AT15" s="369"/>
      <c r="AU15" s="369"/>
      <c r="AV15" s="353"/>
      <c r="AW15" s="353"/>
      <c r="AX15" s="353"/>
    </row>
    <row r="16" spans="1:68" s="366" customFormat="1">
      <c r="A16" s="367"/>
      <c r="B16" s="393" t="s">
        <v>1064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>
        <f>ROUNDUP(11+1.2*3.3,0)</f>
        <v>15</v>
      </c>
      <c r="N16" s="51"/>
      <c r="O16" s="51">
        <f t="shared" si="0"/>
        <v>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46">
        <f t="shared" si="1"/>
        <v>0</v>
      </c>
      <c r="AG16" s="392">
        <f t="shared" si="2"/>
        <v>0</v>
      </c>
      <c r="AH16" s="51"/>
      <c r="AI16" s="51"/>
      <c r="AJ16" s="51"/>
      <c r="AK16" s="51"/>
      <c r="AL16" s="51"/>
      <c r="AM16" s="369"/>
      <c r="AN16" s="369"/>
      <c r="AO16" s="369"/>
      <c r="AP16" s="369"/>
      <c r="AQ16" s="369"/>
      <c r="AR16" s="369"/>
      <c r="AS16" s="369"/>
      <c r="AT16" s="369"/>
      <c r="AU16" s="369"/>
      <c r="AV16" s="353"/>
      <c r="AW16" s="353"/>
      <c r="AX16" s="353"/>
    </row>
    <row r="17" spans="1:50" s="366" customFormat="1">
      <c r="A17" s="367"/>
      <c r="B17" s="393" t="s">
        <v>618</v>
      </c>
      <c r="C17" s="51"/>
      <c r="D17" s="51"/>
      <c r="E17" s="51"/>
      <c r="F17" s="51">
        <f>ROUNDUP(1.575*1.5+1.575*0.9,0)</f>
        <v>4</v>
      </c>
      <c r="G17" s="51"/>
      <c r="H17" s="51"/>
      <c r="I17" s="51"/>
      <c r="J17" s="51"/>
      <c r="K17" s="51"/>
      <c r="L17" s="51"/>
      <c r="M17" s="51"/>
      <c r="N17" s="51"/>
      <c r="O17" s="51">
        <f t="shared" si="0"/>
        <v>0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46">
        <f t="shared" si="1"/>
        <v>0</v>
      </c>
      <c r="AG17" s="392">
        <f t="shared" si="2"/>
        <v>0</v>
      </c>
      <c r="AH17" s="51"/>
      <c r="AI17" s="51"/>
      <c r="AJ17" s="51"/>
      <c r="AK17" s="51"/>
      <c r="AL17" s="51"/>
      <c r="AM17" s="369"/>
      <c r="AN17" s="369"/>
      <c r="AO17" s="369"/>
      <c r="AP17" s="369"/>
      <c r="AQ17" s="369"/>
      <c r="AR17" s="369"/>
      <c r="AS17" s="369"/>
      <c r="AT17" s="369"/>
      <c r="AU17" s="369"/>
      <c r="AV17" s="353"/>
      <c r="AW17" s="353"/>
      <c r="AX17" s="353"/>
    </row>
    <row r="18" spans="1:50" s="366" customFormat="1">
      <c r="A18" s="367"/>
      <c r="B18" s="393" t="s">
        <v>662</v>
      </c>
      <c r="C18" s="51"/>
      <c r="D18" s="51"/>
      <c r="E18" s="51"/>
      <c r="F18" s="51">
        <f>ROUNDUP(1.675*1.5+1.675*0.9,0)</f>
        <v>5</v>
      </c>
      <c r="G18" s="51"/>
      <c r="H18" s="51"/>
      <c r="I18" s="51"/>
      <c r="J18" s="51"/>
      <c r="K18" s="51"/>
      <c r="L18" s="51"/>
      <c r="M18" s="51"/>
      <c r="N18" s="51"/>
      <c r="O18" s="51">
        <f t="shared" ref="O18" si="3">K18</f>
        <v>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46">
        <f t="shared" ref="AF18" si="4">SUM(Z18:AB18)</f>
        <v>0</v>
      </c>
      <c r="AG18" s="392">
        <f t="shared" si="2"/>
        <v>0</v>
      </c>
      <c r="AH18" s="51"/>
      <c r="AI18" s="51"/>
      <c r="AJ18" s="51"/>
      <c r="AK18" s="51"/>
      <c r="AL18" s="51"/>
      <c r="AM18" s="369"/>
      <c r="AN18" s="369"/>
      <c r="AO18" s="369"/>
      <c r="AP18" s="369"/>
      <c r="AQ18" s="369"/>
      <c r="AR18" s="369"/>
      <c r="AS18" s="369"/>
      <c r="AT18" s="369"/>
      <c r="AU18" s="369"/>
      <c r="AV18" s="353"/>
      <c r="AW18" s="353"/>
      <c r="AX18" s="353"/>
    </row>
    <row r="19" spans="1:50" s="366" customFormat="1">
      <c r="A19" s="390"/>
      <c r="B19" s="393" t="s">
        <v>619</v>
      </c>
      <c r="C19" s="392"/>
      <c r="D19" s="51"/>
      <c r="E19" s="51"/>
      <c r="F19" s="51"/>
      <c r="G19" s="51"/>
      <c r="H19" s="51">
        <v>23</v>
      </c>
      <c r="I19" s="392"/>
      <c r="J19" s="392"/>
      <c r="K19" s="392"/>
      <c r="L19" s="392"/>
      <c r="M19" s="392"/>
      <c r="N19" s="51">
        <f>H19</f>
        <v>23</v>
      </c>
      <c r="O19" s="51">
        <f t="shared" si="0"/>
        <v>0</v>
      </c>
      <c r="P19" s="38"/>
      <c r="Q19" s="392"/>
      <c r="R19" s="51"/>
      <c r="S19" s="51"/>
      <c r="T19" s="51"/>
      <c r="U19" s="51"/>
      <c r="V19" s="51"/>
      <c r="W19" s="392"/>
      <c r="X19" s="392"/>
      <c r="Y19" s="392"/>
      <c r="Z19" s="51"/>
      <c r="AA19" s="51"/>
      <c r="AB19" s="51"/>
      <c r="AC19" s="51"/>
      <c r="AD19" s="392"/>
      <c r="AE19" s="392"/>
      <c r="AF19" s="46">
        <f t="shared" si="1"/>
        <v>0</v>
      </c>
      <c r="AG19" s="392">
        <f t="shared" si="2"/>
        <v>0</v>
      </c>
      <c r="AH19" s="392"/>
      <c r="AI19" s="392"/>
      <c r="AJ19" s="392"/>
      <c r="AK19" s="392"/>
      <c r="AL19" s="392"/>
      <c r="AM19" s="354"/>
      <c r="AN19" s="354"/>
      <c r="AO19" s="354"/>
      <c r="AP19" s="354"/>
      <c r="AQ19" s="354"/>
      <c r="AR19" s="354"/>
      <c r="AS19" s="354"/>
      <c r="AT19" s="354"/>
      <c r="AU19" s="354"/>
      <c r="AV19" s="354"/>
    </row>
    <row r="20" spans="1:50" s="366" customFormat="1">
      <c r="A20" s="367"/>
      <c r="B20" s="393" t="s">
        <v>620</v>
      </c>
      <c r="C20" s="51"/>
      <c r="D20" s="51"/>
      <c r="E20" s="51"/>
      <c r="F20" s="51">
        <f>ROUNDUP(2.2*1+2.2*0.35,0)</f>
        <v>3</v>
      </c>
      <c r="G20" s="51"/>
      <c r="H20" s="51"/>
      <c r="I20" s="51"/>
      <c r="J20" s="51"/>
      <c r="K20" s="51"/>
      <c r="L20" s="51"/>
      <c r="M20" s="51"/>
      <c r="N20" s="51"/>
      <c r="O20" s="51">
        <f t="shared" si="0"/>
        <v>0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46">
        <f t="shared" si="1"/>
        <v>0</v>
      </c>
      <c r="AG20" s="392">
        <f t="shared" si="2"/>
        <v>0</v>
      </c>
      <c r="AH20" s="51"/>
      <c r="AI20" s="51"/>
      <c r="AJ20" s="51"/>
      <c r="AK20" s="51"/>
      <c r="AL20" s="51"/>
      <c r="AM20" s="369"/>
      <c r="AN20" s="369"/>
      <c r="AO20" s="369"/>
      <c r="AP20" s="369"/>
      <c r="AQ20" s="369"/>
      <c r="AR20" s="369"/>
      <c r="AS20" s="369"/>
      <c r="AT20" s="369"/>
      <c r="AU20" s="369"/>
      <c r="AV20" s="353"/>
      <c r="AW20" s="353"/>
      <c r="AX20" s="353"/>
    </row>
    <row r="21" spans="1:50" s="366" customFormat="1">
      <c r="A21" s="367"/>
      <c r="B21" s="393" t="s">
        <v>625</v>
      </c>
      <c r="C21" s="51"/>
      <c r="D21" s="51"/>
      <c r="E21" s="51"/>
      <c r="F21" s="51">
        <f>ROUNDUP(2.4*1.8+1.8*0.3,0)</f>
        <v>5</v>
      </c>
      <c r="G21" s="51"/>
      <c r="H21" s="51"/>
      <c r="I21" s="51"/>
      <c r="J21" s="51"/>
      <c r="K21" s="51"/>
      <c r="L21" s="51"/>
      <c r="M21" s="51"/>
      <c r="N21" s="51"/>
      <c r="O21" s="51">
        <f t="shared" si="0"/>
        <v>0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46">
        <f t="shared" si="1"/>
        <v>0</v>
      </c>
      <c r="AG21" s="392">
        <f t="shared" si="2"/>
        <v>0</v>
      </c>
      <c r="AH21" s="51"/>
      <c r="AI21" s="51"/>
      <c r="AJ21" s="51"/>
      <c r="AK21" s="51"/>
      <c r="AL21" s="51"/>
      <c r="AM21" s="369"/>
      <c r="AN21" s="369"/>
      <c r="AO21" s="369"/>
      <c r="AP21" s="369"/>
      <c r="AQ21" s="369"/>
      <c r="AR21" s="369"/>
      <c r="AS21" s="369"/>
      <c r="AT21" s="369"/>
      <c r="AU21" s="369"/>
      <c r="AV21" s="353"/>
      <c r="AW21" s="353"/>
      <c r="AX21" s="353"/>
    </row>
    <row r="22" spans="1:50" s="366" customFormat="1">
      <c r="A22" s="367"/>
      <c r="B22" s="393" t="s">
        <v>656</v>
      </c>
      <c r="C22" s="51"/>
      <c r="D22" s="51"/>
      <c r="E22" s="51"/>
      <c r="F22" s="51">
        <f>ROUNDUP(2*3.7+3.7*0.7,0)</f>
        <v>10</v>
      </c>
      <c r="G22" s="51"/>
      <c r="H22" s="51"/>
      <c r="I22" s="51"/>
      <c r="J22" s="51"/>
      <c r="K22" s="51"/>
      <c r="L22" s="51"/>
      <c r="M22" s="51"/>
      <c r="N22" s="51"/>
      <c r="O22" s="51">
        <f t="shared" si="0"/>
        <v>0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46">
        <f t="shared" si="1"/>
        <v>0</v>
      </c>
      <c r="AG22" s="392">
        <f t="shared" si="2"/>
        <v>0</v>
      </c>
      <c r="AH22" s="51"/>
      <c r="AI22" s="51"/>
      <c r="AJ22" s="51"/>
      <c r="AK22" s="51"/>
      <c r="AL22" s="51"/>
      <c r="AM22" s="369"/>
      <c r="AN22" s="369"/>
      <c r="AO22" s="369"/>
      <c r="AP22" s="369"/>
      <c r="AQ22" s="369"/>
      <c r="AR22" s="369"/>
      <c r="AS22" s="369"/>
      <c r="AT22" s="369"/>
      <c r="AU22" s="369"/>
      <c r="AV22" s="353"/>
      <c r="AW22" s="353"/>
      <c r="AX22" s="353"/>
    </row>
    <row r="23" spans="1:50" s="366" customFormat="1">
      <c r="A23" s="367"/>
      <c r="B23" s="393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>
        <f t="shared" si="0"/>
        <v>0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46">
        <f t="shared" si="1"/>
        <v>0</v>
      </c>
      <c r="AG23" s="392">
        <f t="shared" si="2"/>
        <v>0</v>
      </c>
      <c r="AH23" s="51"/>
      <c r="AI23" s="51"/>
      <c r="AJ23" s="51"/>
      <c r="AK23" s="51"/>
      <c r="AL23" s="51"/>
      <c r="AM23" s="369"/>
      <c r="AN23" s="369"/>
      <c r="AO23" s="369"/>
      <c r="AP23" s="369"/>
      <c r="AQ23" s="369"/>
      <c r="AR23" s="369"/>
      <c r="AS23" s="369"/>
      <c r="AT23" s="369"/>
      <c r="AU23" s="369"/>
      <c r="AV23" s="353"/>
      <c r="AW23" s="353"/>
      <c r="AX23" s="353"/>
    </row>
    <row r="24" spans="1:50" s="366" customFormat="1">
      <c r="A24" s="390"/>
      <c r="B24" s="391" t="s">
        <v>391</v>
      </c>
      <c r="C24" s="392"/>
      <c r="D24" s="51"/>
      <c r="E24" s="51"/>
      <c r="F24" s="51"/>
      <c r="G24" s="51"/>
      <c r="H24" s="51"/>
      <c r="I24" s="392"/>
      <c r="J24" s="392"/>
      <c r="K24" s="392"/>
      <c r="L24" s="392"/>
      <c r="M24" s="392"/>
      <c r="N24" s="51"/>
      <c r="O24" s="51">
        <f t="shared" si="0"/>
        <v>0</v>
      </c>
      <c r="P24" s="38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46">
        <f t="shared" si="1"/>
        <v>0</v>
      </c>
      <c r="AG24" s="392">
        <f t="shared" si="2"/>
        <v>0</v>
      </c>
      <c r="AH24" s="392"/>
      <c r="AI24" s="392"/>
      <c r="AJ24" s="392"/>
      <c r="AK24" s="392"/>
      <c r="AL24" s="392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</row>
    <row r="25" spans="1:50" s="366" customFormat="1">
      <c r="A25" s="367"/>
      <c r="B25" s="393" t="s">
        <v>377</v>
      </c>
      <c r="C25" s="51">
        <v>72</v>
      </c>
      <c r="D25" s="51">
        <v>43</v>
      </c>
      <c r="E25" s="51">
        <v>30</v>
      </c>
      <c r="F25" s="51">
        <v>142</v>
      </c>
      <c r="G25" s="51">
        <v>198</v>
      </c>
      <c r="H25" s="51">
        <v>7</v>
      </c>
      <c r="I25" s="51">
        <v>47</v>
      </c>
      <c r="J25" s="51"/>
      <c r="K25" s="51">
        <v>151</v>
      </c>
      <c r="L25" s="51">
        <v>70</v>
      </c>
      <c r="M25" s="51"/>
      <c r="N25" s="51"/>
      <c r="O25" s="51">
        <f t="shared" si="0"/>
        <v>151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46">
        <f t="shared" si="1"/>
        <v>0</v>
      </c>
      <c r="AG25" s="392">
        <f t="shared" si="2"/>
        <v>0</v>
      </c>
      <c r="AH25" s="51"/>
      <c r="AI25" s="51"/>
      <c r="AJ25" s="51"/>
      <c r="AK25" s="51"/>
      <c r="AL25" s="51"/>
      <c r="AM25" s="369"/>
      <c r="AN25" s="369"/>
      <c r="AO25" s="369"/>
      <c r="AP25" s="369"/>
      <c r="AQ25" s="369"/>
      <c r="AR25" s="369"/>
      <c r="AS25" s="369"/>
      <c r="AT25" s="369"/>
      <c r="AU25" s="369"/>
      <c r="AV25" s="353"/>
      <c r="AW25" s="353"/>
      <c r="AX25" s="353"/>
    </row>
    <row r="26" spans="1:50" s="366" customFormat="1">
      <c r="A26" s="367"/>
      <c r="B26" s="393" t="s">
        <v>383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>
        <f t="shared" si="0"/>
        <v>0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>
        <v>419</v>
      </c>
      <c r="AA26" s="51">
        <v>47</v>
      </c>
      <c r="AB26" s="51">
        <v>317</v>
      </c>
      <c r="AC26" s="51">
        <v>151</v>
      </c>
      <c r="AD26" s="51"/>
      <c r="AE26" s="51"/>
      <c r="AF26" s="46">
        <f>SUM(Z26:AC26)</f>
        <v>934</v>
      </c>
      <c r="AG26" s="392">
        <f t="shared" si="2"/>
        <v>0</v>
      </c>
      <c r="AH26" s="51"/>
      <c r="AI26" s="51"/>
      <c r="AJ26" s="51"/>
      <c r="AK26" s="51"/>
      <c r="AL26" s="51"/>
      <c r="AM26" s="369"/>
      <c r="AN26" s="369"/>
      <c r="AO26" s="369"/>
      <c r="AP26" s="369"/>
      <c r="AQ26" s="369"/>
      <c r="AR26" s="369"/>
      <c r="AS26" s="369"/>
      <c r="AT26" s="369"/>
      <c r="AU26" s="369"/>
      <c r="AV26" s="353"/>
      <c r="AW26" s="353"/>
      <c r="AX26" s="353"/>
    </row>
    <row r="27" spans="1:50" s="366" customFormat="1">
      <c r="A27" s="367"/>
      <c r="B27" s="393" t="s">
        <v>136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>
        <f t="shared" si="0"/>
        <v>0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46">
        <f t="shared" si="1"/>
        <v>0</v>
      </c>
      <c r="AG27" s="392">
        <f t="shared" si="2"/>
        <v>0</v>
      </c>
      <c r="AH27" s="51"/>
      <c r="AI27" s="51"/>
      <c r="AJ27" s="51"/>
      <c r="AK27" s="51"/>
      <c r="AL27" s="51"/>
      <c r="AM27" s="369"/>
      <c r="AN27" s="369"/>
      <c r="AO27" s="369"/>
      <c r="AP27" s="369"/>
      <c r="AQ27" s="369"/>
      <c r="AR27" s="369"/>
      <c r="AS27" s="369"/>
      <c r="AT27" s="369"/>
      <c r="AU27" s="369"/>
      <c r="AV27" s="353"/>
      <c r="AW27" s="353"/>
      <c r="AX27" s="353"/>
    </row>
    <row r="28" spans="1:50" s="366" customFormat="1">
      <c r="A28" s="367"/>
      <c r="B28" s="393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>
        <f t="shared" si="0"/>
        <v>0</v>
      </c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46">
        <f t="shared" si="1"/>
        <v>0</v>
      </c>
      <c r="AG28" s="392">
        <f t="shared" si="2"/>
        <v>0</v>
      </c>
      <c r="AH28" s="51"/>
      <c r="AI28" s="51"/>
      <c r="AJ28" s="51"/>
      <c r="AK28" s="51"/>
      <c r="AL28" s="51"/>
      <c r="AM28" s="369"/>
      <c r="AN28" s="369"/>
      <c r="AO28" s="369"/>
      <c r="AP28" s="369"/>
      <c r="AQ28" s="369"/>
      <c r="AR28" s="369"/>
      <c r="AS28" s="369"/>
      <c r="AT28" s="369"/>
      <c r="AU28" s="369"/>
      <c r="AV28" s="353"/>
      <c r="AW28" s="353"/>
      <c r="AX28" s="353"/>
    </row>
    <row r="29" spans="1:50" s="366" customFormat="1">
      <c r="A29" s="390"/>
      <c r="B29" s="391" t="s">
        <v>403</v>
      </c>
      <c r="C29" s="392"/>
      <c r="D29" s="51"/>
      <c r="E29" s="51"/>
      <c r="F29" s="51"/>
      <c r="G29" s="51"/>
      <c r="H29" s="51"/>
      <c r="I29" s="392"/>
      <c r="J29" s="392"/>
      <c r="K29" s="392"/>
      <c r="L29" s="392"/>
      <c r="M29" s="392"/>
      <c r="N29" s="51"/>
      <c r="O29" s="51">
        <f t="shared" si="0"/>
        <v>0</v>
      </c>
      <c r="P29" s="38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46">
        <f t="shared" si="1"/>
        <v>0</v>
      </c>
      <c r="AG29" s="392">
        <f t="shared" si="2"/>
        <v>0</v>
      </c>
      <c r="AH29" s="392"/>
      <c r="AI29" s="392"/>
      <c r="AJ29" s="392"/>
      <c r="AK29" s="392"/>
      <c r="AL29" s="392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</row>
    <row r="30" spans="1:50" s="366" customFormat="1">
      <c r="A30" s="367"/>
      <c r="B30" s="393" t="s">
        <v>377</v>
      </c>
      <c r="C30" s="51">
        <v>80</v>
      </c>
      <c r="D30" s="51"/>
      <c r="E30" s="51">
        <v>185</v>
      </c>
      <c r="F30" s="51">
        <v>31</v>
      </c>
      <c r="G30" s="51"/>
      <c r="H30" s="51"/>
      <c r="I30" s="51"/>
      <c r="J30" s="51">
        <v>579</v>
      </c>
      <c r="K30" s="51"/>
      <c r="L30" s="51">
        <v>91</v>
      </c>
      <c r="M30" s="51"/>
      <c r="N30" s="51"/>
      <c r="O30" s="51">
        <f t="shared" si="0"/>
        <v>0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46">
        <f t="shared" si="1"/>
        <v>0</v>
      </c>
      <c r="AG30" s="392">
        <f t="shared" si="2"/>
        <v>579</v>
      </c>
      <c r="AH30" s="51"/>
      <c r="AI30" s="51"/>
      <c r="AJ30" s="51"/>
      <c r="AK30" s="51"/>
      <c r="AL30" s="51"/>
      <c r="AM30" s="369"/>
      <c r="AN30" s="369"/>
      <c r="AO30" s="369"/>
      <c r="AP30" s="369"/>
      <c r="AQ30" s="369"/>
      <c r="AR30" s="369"/>
      <c r="AS30" s="369"/>
      <c r="AT30" s="369"/>
      <c r="AU30" s="369"/>
      <c r="AV30" s="353"/>
      <c r="AW30" s="353"/>
      <c r="AX30" s="353"/>
    </row>
    <row r="31" spans="1:50" s="366" customFormat="1">
      <c r="A31" s="367"/>
      <c r="B31" s="393" t="s">
        <v>383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>
        <f t="shared" si="0"/>
        <v>0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46">
        <f t="shared" si="1"/>
        <v>0</v>
      </c>
      <c r="AG31" s="392">
        <f t="shared" si="2"/>
        <v>0</v>
      </c>
      <c r="AH31" s="51"/>
      <c r="AI31" s="51"/>
      <c r="AJ31" s="51"/>
      <c r="AK31" s="51"/>
      <c r="AL31" s="51"/>
      <c r="AM31" s="369"/>
      <c r="AN31" s="369"/>
      <c r="AO31" s="369"/>
      <c r="AP31" s="369"/>
      <c r="AQ31" s="369"/>
      <c r="AR31" s="369"/>
      <c r="AS31" s="369"/>
      <c r="AT31" s="369"/>
      <c r="AU31" s="369"/>
      <c r="AV31" s="353"/>
      <c r="AW31" s="353"/>
      <c r="AX31" s="353"/>
    </row>
    <row r="32" spans="1:50" s="366" customFormat="1">
      <c r="A32" s="367"/>
      <c r="B32" s="393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>
        <f t="shared" si="0"/>
        <v>0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46">
        <f t="shared" si="1"/>
        <v>0</v>
      </c>
      <c r="AG32" s="392">
        <f t="shared" si="2"/>
        <v>0</v>
      </c>
      <c r="AH32" s="51"/>
      <c r="AI32" s="51"/>
      <c r="AJ32" s="51"/>
      <c r="AK32" s="51"/>
      <c r="AL32" s="51"/>
      <c r="AM32" s="369"/>
      <c r="AN32" s="369"/>
      <c r="AO32" s="369"/>
      <c r="AP32" s="369"/>
      <c r="AQ32" s="369"/>
      <c r="AR32" s="369"/>
      <c r="AS32" s="369"/>
      <c r="AT32" s="369"/>
      <c r="AU32" s="369"/>
      <c r="AV32" s="353"/>
      <c r="AW32" s="353"/>
      <c r="AX32" s="353"/>
    </row>
    <row r="33" spans="1:74">
      <c r="A33" s="390"/>
      <c r="B33" s="391" t="s">
        <v>655</v>
      </c>
      <c r="C33" s="392"/>
      <c r="D33" s="51"/>
      <c r="E33" s="51"/>
      <c r="F33" s="51"/>
      <c r="G33" s="51"/>
      <c r="H33" s="51"/>
      <c r="I33" s="392"/>
      <c r="J33" s="392"/>
      <c r="K33" s="392"/>
      <c r="L33" s="392"/>
      <c r="M33" s="392"/>
      <c r="N33" s="51"/>
      <c r="O33" s="51">
        <f t="shared" ref="O33:O36" si="5">K33</f>
        <v>0</v>
      </c>
      <c r="P33" s="38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46">
        <f t="shared" ref="AF33:AF36" si="6">SUM(Z33:AB33)</f>
        <v>0</v>
      </c>
      <c r="AG33" s="392">
        <f t="shared" si="2"/>
        <v>0</v>
      </c>
      <c r="AH33" s="392"/>
      <c r="AI33" s="392"/>
      <c r="AJ33" s="392"/>
      <c r="AK33" s="392"/>
      <c r="AL33" s="392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66"/>
      <c r="BP33" s="366"/>
      <c r="BQ33" s="366"/>
      <c r="BR33" s="366"/>
      <c r="BS33" s="366"/>
      <c r="BT33" s="366"/>
      <c r="BU33" s="366"/>
      <c r="BV33" s="366"/>
    </row>
    <row r="34" spans="1:74">
      <c r="A34" s="367"/>
      <c r="B34" s="393" t="s">
        <v>377</v>
      </c>
      <c r="C34" s="51"/>
      <c r="D34" s="51"/>
      <c r="E34" s="51"/>
      <c r="F34" s="51"/>
      <c r="G34" s="51"/>
      <c r="H34" s="51"/>
      <c r="I34" s="51"/>
      <c r="J34" s="51">
        <v>58</v>
      </c>
      <c r="K34" s="51"/>
      <c r="L34" s="51"/>
      <c r="M34" s="51"/>
      <c r="N34" s="51"/>
      <c r="O34" s="51">
        <f t="shared" si="5"/>
        <v>0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46">
        <f t="shared" si="6"/>
        <v>0</v>
      </c>
      <c r="AG34" s="392">
        <f t="shared" si="2"/>
        <v>58</v>
      </c>
      <c r="AH34" s="51"/>
      <c r="AI34" s="51"/>
      <c r="AJ34" s="51"/>
      <c r="AK34" s="51"/>
      <c r="AL34" s="51"/>
      <c r="AM34" s="369"/>
      <c r="AN34" s="369"/>
      <c r="AO34" s="369"/>
      <c r="AP34" s="369"/>
      <c r="AQ34" s="369"/>
      <c r="AR34" s="369"/>
      <c r="AS34" s="369"/>
      <c r="AT34" s="369"/>
      <c r="AU34" s="369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  <c r="BK34" s="366"/>
      <c r="BL34" s="366"/>
      <c r="BM34" s="366"/>
      <c r="BN34" s="366"/>
      <c r="BO34" s="366"/>
      <c r="BP34" s="366"/>
      <c r="BQ34" s="366"/>
      <c r="BR34" s="366"/>
      <c r="BS34" s="366"/>
      <c r="BT34" s="366"/>
      <c r="BU34" s="366"/>
      <c r="BV34" s="366"/>
    </row>
    <row r="35" spans="1:74">
      <c r="A35" s="367"/>
      <c r="B35" s="393" t="s">
        <v>383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>
        <f t="shared" si="5"/>
        <v>0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>
        <v>302</v>
      </c>
      <c r="AA35" s="51">
        <v>105</v>
      </c>
      <c r="AB35" s="51">
        <v>17</v>
      </c>
      <c r="AC35" s="51"/>
      <c r="AD35" s="51"/>
      <c r="AE35" s="51"/>
      <c r="AF35" s="46">
        <f t="shared" si="6"/>
        <v>424</v>
      </c>
      <c r="AG35" s="392">
        <f t="shared" si="2"/>
        <v>0</v>
      </c>
      <c r="AH35" s="51"/>
      <c r="AI35" s="51"/>
      <c r="AJ35" s="51"/>
      <c r="AK35" s="51"/>
      <c r="AL35" s="51"/>
      <c r="AM35" s="369"/>
      <c r="AN35" s="369"/>
      <c r="AO35" s="369"/>
      <c r="AP35" s="369"/>
      <c r="AQ35" s="369"/>
      <c r="AR35" s="369"/>
      <c r="AS35" s="369"/>
      <c r="AT35" s="369"/>
      <c r="AU35" s="369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  <c r="BK35" s="366"/>
      <c r="BL35" s="366"/>
      <c r="BM35" s="366"/>
      <c r="BN35" s="366"/>
      <c r="BO35" s="366"/>
      <c r="BP35" s="366"/>
      <c r="BQ35" s="366"/>
      <c r="BR35" s="366"/>
      <c r="BS35" s="366"/>
      <c r="BT35" s="366"/>
      <c r="BU35" s="366"/>
      <c r="BV35" s="366"/>
    </row>
    <row r="36" spans="1:74">
      <c r="A36" s="367"/>
      <c r="B36" s="393" t="s">
        <v>136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 t="shared" si="5"/>
        <v>0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46">
        <f t="shared" si="6"/>
        <v>0</v>
      </c>
      <c r="AG36" s="392">
        <f t="shared" si="2"/>
        <v>0</v>
      </c>
      <c r="AH36" s="51">
        <f>382/COS(RADIANS(3))</f>
        <v>382.52423617120581</v>
      </c>
      <c r="AI36" s="51">
        <f>AH36</f>
        <v>382.52423617120581</v>
      </c>
      <c r="AJ36" s="51">
        <v>64.400000000000006</v>
      </c>
      <c r="AK36" s="51">
        <v>35.700000000000003</v>
      </c>
      <c r="AL36" s="51">
        <f>95/COS(RADIANS(5))</f>
        <v>95.362884566618007</v>
      </c>
      <c r="AM36" s="369"/>
      <c r="AN36" s="369"/>
      <c r="AO36" s="369"/>
      <c r="AP36" s="369"/>
      <c r="AQ36" s="369"/>
      <c r="AR36" s="369"/>
      <c r="AS36" s="369"/>
      <c r="AT36" s="369"/>
      <c r="AU36" s="369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66"/>
      <c r="BP36" s="366"/>
      <c r="BQ36" s="366"/>
      <c r="BR36" s="366"/>
      <c r="BS36" s="366"/>
      <c r="BT36" s="366"/>
      <c r="BU36" s="366"/>
      <c r="BV36" s="366"/>
    </row>
    <row r="37" spans="1:74">
      <c r="A37" s="390"/>
      <c r="B37" s="393"/>
      <c r="C37" s="392"/>
      <c r="D37" s="51"/>
      <c r="E37" s="51"/>
      <c r="F37" s="51"/>
      <c r="G37" s="51"/>
      <c r="H37" s="51"/>
      <c r="I37" s="392"/>
      <c r="J37" s="392"/>
      <c r="K37" s="392"/>
      <c r="L37" s="392"/>
      <c r="M37" s="392"/>
      <c r="N37" s="51"/>
      <c r="O37" s="51">
        <f t="shared" si="0"/>
        <v>0</v>
      </c>
      <c r="P37" s="38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46">
        <f t="shared" si="1"/>
        <v>0</v>
      </c>
      <c r="AG37" s="392">
        <f t="shared" si="2"/>
        <v>0</v>
      </c>
      <c r="AH37" s="392"/>
      <c r="AI37" s="392"/>
      <c r="AJ37" s="392"/>
      <c r="AK37" s="392"/>
      <c r="AL37" s="392"/>
      <c r="AM37" s="354"/>
      <c r="AN37" s="354"/>
      <c r="AO37" s="354"/>
      <c r="AP37" s="354"/>
      <c r="AQ37" s="354"/>
      <c r="AR37" s="354"/>
      <c r="AS37" s="354"/>
      <c r="AT37" s="354"/>
      <c r="AU37" s="354"/>
      <c r="AV37" s="354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66"/>
      <c r="BP37" s="366"/>
      <c r="BQ37" s="366"/>
      <c r="BR37" s="366"/>
      <c r="BS37" s="366"/>
      <c r="BT37" s="366"/>
      <c r="BU37" s="366"/>
      <c r="BV37" s="366"/>
    </row>
    <row r="38" spans="1:74">
      <c r="A38" s="367"/>
      <c r="B38" s="393" t="s">
        <v>392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>
        <f t="shared" si="0"/>
        <v>0</v>
      </c>
      <c r="P38" s="51">
        <f>ผนัง!S263+ผนัง!T263</f>
        <v>753</v>
      </c>
      <c r="Q38" s="51">
        <f>ผนัง!AA263</f>
        <v>1736</v>
      </c>
      <c r="R38" s="51">
        <f>ผนัง!AH263</f>
        <v>316</v>
      </c>
      <c r="S38" s="51">
        <f>ผนัง!AO263</f>
        <v>493</v>
      </c>
      <c r="T38" s="51">
        <f>ผนัง!AV263</f>
        <v>129</v>
      </c>
      <c r="U38" s="51">
        <f>ผนัง!BC263+ผนัง!BJ263</f>
        <v>3035</v>
      </c>
      <c r="V38" s="51">
        <f>ผนัง!BQ263</f>
        <v>145</v>
      </c>
      <c r="W38" s="51">
        <f>ผนัง!BX263+ผนัง!CE263</f>
        <v>277</v>
      </c>
      <c r="X38" s="51">
        <f>ผนัง!CE263</f>
        <v>242</v>
      </c>
      <c r="Y38" s="51"/>
      <c r="Z38" s="51"/>
      <c r="AA38" s="51"/>
      <c r="AB38" s="51"/>
      <c r="AC38" s="51"/>
      <c r="AD38" s="51">
        <f>ผนัง!BJ263+ผนัง!BX263+ผนัง!CS263+ผนัง!CZ263+ผนัง!DN263</f>
        <v>1651</v>
      </c>
      <c r="AE38" s="51">
        <f>ผนัง!BC263+ผนัง!BQ263+ผนัง!CL263+ผนัง!DG263</f>
        <v>3261</v>
      </c>
      <c r="AF38" s="46">
        <f t="shared" si="1"/>
        <v>0</v>
      </c>
      <c r="AG38" s="392">
        <f t="shared" si="2"/>
        <v>0</v>
      </c>
      <c r="AH38" s="51"/>
      <c r="AI38" s="51"/>
      <c r="AJ38" s="51"/>
      <c r="AK38" s="51"/>
      <c r="AL38" s="51"/>
      <c r="AM38" s="369"/>
      <c r="AN38" s="369"/>
      <c r="AO38" s="369"/>
      <c r="AP38" s="369"/>
      <c r="AQ38" s="369"/>
      <c r="AR38" s="369"/>
      <c r="AS38" s="369"/>
      <c r="AT38" s="369"/>
      <c r="AU38" s="369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</row>
    <row r="39" spans="1:74">
      <c r="A39" s="367"/>
      <c r="B39" s="367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>
        <f t="shared" si="0"/>
        <v>0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46">
        <f t="shared" si="1"/>
        <v>0</v>
      </c>
      <c r="AG39" s="392">
        <f t="shared" si="2"/>
        <v>0</v>
      </c>
      <c r="AH39" s="51"/>
      <c r="AI39" s="51"/>
      <c r="AJ39" s="51"/>
      <c r="AK39" s="51"/>
      <c r="AL39" s="51"/>
      <c r="AM39" s="369"/>
      <c r="AN39" s="369"/>
      <c r="AO39" s="369"/>
      <c r="AP39" s="369"/>
      <c r="AQ39" s="369"/>
      <c r="AR39" s="369"/>
      <c r="AS39" s="369"/>
      <c r="AT39" s="369"/>
      <c r="AU39" s="369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  <c r="BK39" s="366"/>
      <c r="BL39" s="366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</row>
    <row r="40" spans="1:74">
      <c r="A40" s="367"/>
      <c r="B40" s="36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1">
        <f t="shared" si="0"/>
        <v>0</v>
      </c>
      <c r="P40" s="51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46">
        <f t="shared" si="1"/>
        <v>0</v>
      </c>
      <c r="AG40" s="392">
        <f t="shared" si="2"/>
        <v>0</v>
      </c>
      <c r="AH40" s="53"/>
      <c r="AI40" s="53"/>
      <c r="AJ40" s="53"/>
      <c r="AK40" s="53"/>
      <c r="AL40" s="53"/>
      <c r="AM40" s="369"/>
      <c r="AN40" s="369"/>
      <c r="AO40" s="369"/>
      <c r="AP40" s="369"/>
      <c r="AQ40" s="369"/>
      <c r="AR40" s="369"/>
      <c r="AS40" s="369"/>
      <c r="AT40" s="369"/>
      <c r="AU40" s="369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</row>
    <row r="41" spans="1:74">
      <c r="A41" s="367"/>
      <c r="B41" s="36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1">
        <f t="shared" si="0"/>
        <v>0</v>
      </c>
      <c r="P41" s="51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46">
        <f t="shared" si="1"/>
        <v>0</v>
      </c>
      <c r="AG41" s="392">
        <f t="shared" si="2"/>
        <v>0</v>
      </c>
      <c r="AH41" s="53"/>
      <c r="AI41" s="53"/>
      <c r="AJ41" s="53"/>
      <c r="AK41" s="53"/>
      <c r="AL41" s="53"/>
      <c r="AM41" s="369"/>
      <c r="AN41" s="369"/>
      <c r="AO41" s="369"/>
      <c r="AP41" s="369"/>
      <c r="AQ41" s="369"/>
      <c r="AR41" s="369"/>
      <c r="AS41" s="369"/>
      <c r="AT41" s="369"/>
      <c r="AU41" s="369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66"/>
      <c r="BP41" s="366"/>
      <c r="BQ41" s="366"/>
      <c r="BR41" s="366"/>
      <c r="BS41" s="366"/>
      <c r="BT41" s="366"/>
      <c r="BU41" s="366"/>
      <c r="BV41" s="366"/>
    </row>
    <row r="42" spans="1:74">
      <c r="A42" s="367"/>
      <c r="B42" s="36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1">
        <f t="shared" si="0"/>
        <v>0</v>
      </c>
      <c r="P42" s="51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46">
        <f t="shared" si="1"/>
        <v>0</v>
      </c>
      <c r="AG42" s="392">
        <f t="shared" si="2"/>
        <v>0</v>
      </c>
      <c r="AH42" s="53"/>
      <c r="AI42" s="53"/>
      <c r="AJ42" s="53"/>
      <c r="AK42" s="53"/>
      <c r="AL42" s="53"/>
      <c r="AM42" s="369"/>
      <c r="AN42" s="369"/>
      <c r="AO42" s="369"/>
      <c r="AP42" s="369"/>
      <c r="AQ42" s="369"/>
      <c r="AR42" s="369"/>
      <c r="AS42" s="369"/>
      <c r="AT42" s="369"/>
      <c r="AU42" s="369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</row>
    <row r="43" spans="1:74">
      <c r="A43" s="367"/>
      <c r="B43" s="368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1">
        <f t="shared" si="0"/>
        <v>0</v>
      </c>
      <c r="P43" s="51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46">
        <f t="shared" si="1"/>
        <v>0</v>
      </c>
      <c r="AG43" s="392">
        <f t="shared" si="2"/>
        <v>0</v>
      </c>
      <c r="AH43" s="53"/>
      <c r="AI43" s="53"/>
      <c r="AJ43" s="53"/>
      <c r="AK43" s="53"/>
      <c r="AL43" s="53"/>
      <c r="AM43" s="369"/>
      <c r="AN43" s="369"/>
      <c r="AO43" s="369"/>
      <c r="AP43" s="369"/>
      <c r="AQ43" s="369"/>
      <c r="AR43" s="369"/>
      <c r="AS43" s="369"/>
      <c r="AT43" s="369"/>
      <c r="AU43" s="369"/>
      <c r="AY43" s="366"/>
      <c r="AZ43" s="366"/>
      <c r="BA43" s="366"/>
      <c r="BB43" s="366"/>
      <c r="BC43" s="366"/>
      <c r="BD43" s="366"/>
      <c r="BE43" s="366"/>
      <c r="BF43" s="366"/>
      <c r="BG43" s="366"/>
      <c r="BH43" s="366"/>
      <c r="BI43" s="366"/>
      <c r="BJ43" s="366"/>
      <c r="BK43" s="366"/>
      <c r="BL43" s="366"/>
      <c r="BM43" s="366"/>
      <c r="BN43" s="366"/>
      <c r="BO43" s="366"/>
      <c r="BP43" s="366"/>
      <c r="BQ43" s="366"/>
      <c r="BR43" s="366"/>
      <c r="BS43" s="366"/>
      <c r="BT43" s="366"/>
      <c r="BU43" s="366"/>
      <c r="BV43" s="366"/>
    </row>
    <row r="44" spans="1:74">
      <c r="A44" s="367"/>
      <c r="B44" s="367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1">
        <f t="shared" si="0"/>
        <v>0</v>
      </c>
      <c r="P44" s="51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46">
        <f t="shared" si="1"/>
        <v>0</v>
      </c>
      <c r="AG44" s="392">
        <f t="shared" si="2"/>
        <v>0</v>
      </c>
      <c r="AH44" s="53"/>
      <c r="AI44" s="53"/>
      <c r="AJ44" s="53"/>
      <c r="AK44" s="53"/>
      <c r="AL44" s="53"/>
      <c r="AM44" s="369"/>
      <c r="AN44" s="369"/>
      <c r="AO44" s="369"/>
      <c r="AP44" s="369"/>
      <c r="AQ44" s="369"/>
      <c r="AR44" s="369"/>
      <c r="AS44" s="369"/>
      <c r="AT44" s="369"/>
      <c r="AU44" s="369"/>
      <c r="AY44" s="366"/>
      <c r="AZ44" s="366"/>
      <c r="BA44" s="366"/>
      <c r="BB44" s="366"/>
      <c r="BC44" s="366"/>
      <c r="BD44" s="366"/>
      <c r="BE44" s="366"/>
      <c r="BF44" s="366"/>
      <c r="BG44" s="366"/>
      <c r="BH44" s="366"/>
      <c r="BI44" s="366"/>
      <c r="BJ44" s="366"/>
      <c r="BK44" s="366"/>
      <c r="BL44" s="366"/>
      <c r="BM44" s="366"/>
      <c r="BN44" s="366"/>
      <c r="BO44" s="366"/>
      <c r="BP44" s="366"/>
      <c r="BQ44" s="366"/>
      <c r="BR44" s="366"/>
      <c r="BS44" s="366"/>
      <c r="BT44" s="366"/>
      <c r="BU44" s="366"/>
      <c r="BV44" s="366"/>
    </row>
    <row r="45" spans="1:74">
      <c r="A45" s="367"/>
      <c r="B45" s="367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1">
        <f t="shared" si="0"/>
        <v>0</v>
      </c>
      <c r="P45" s="51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46">
        <f t="shared" si="1"/>
        <v>0</v>
      </c>
      <c r="AG45" s="392">
        <f t="shared" si="2"/>
        <v>0</v>
      </c>
      <c r="AH45" s="53"/>
      <c r="AI45" s="53"/>
      <c r="AJ45" s="53"/>
      <c r="AK45" s="53"/>
      <c r="AL45" s="53"/>
      <c r="AM45" s="369"/>
      <c r="AN45" s="369"/>
      <c r="AO45" s="369"/>
      <c r="AP45" s="369"/>
      <c r="AQ45" s="369"/>
      <c r="AR45" s="369"/>
      <c r="AS45" s="369"/>
      <c r="AT45" s="369"/>
      <c r="AU45" s="369"/>
      <c r="AY45" s="366"/>
      <c r="AZ45" s="366"/>
      <c r="BA45" s="366"/>
      <c r="BB45" s="366"/>
      <c r="BC45" s="366"/>
      <c r="BD45" s="366"/>
      <c r="BE45" s="366"/>
      <c r="BF45" s="366"/>
      <c r="BG45" s="366"/>
      <c r="BH45" s="366"/>
      <c r="BI45" s="366"/>
      <c r="BJ45" s="366"/>
      <c r="BK45" s="366"/>
      <c r="BL45" s="366"/>
      <c r="BM45" s="366"/>
      <c r="BN45" s="366"/>
      <c r="BO45" s="366"/>
      <c r="BP45" s="366"/>
      <c r="BQ45" s="366"/>
      <c r="BR45" s="366"/>
      <c r="BS45" s="366"/>
      <c r="BT45" s="366"/>
      <c r="BU45" s="366"/>
      <c r="BV45" s="366"/>
    </row>
    <row r="46" spans="1:74">
      <c r="A46" s="370"/>
      <c r="B46" s="371"/>
      <c r="C46" s="372"/>
      <c r="D46" s="53"/>
      <c r="E46" s="53"/>
      <c r="F46" s="53"/>
      <c r="G46" s="53"/>
      <c r="H46" s="53"/>
      <c r="I46" s="372"/>
      <c r="J46" s="372"/>
      <c r="K46" s="372"/>
      <c r="L46" s="372"/>
      <c r="M46" s="372"/>
      <c r="N46" s="53"/>
      <c r="O46" s="51">
        <f t="shared" si="0"/>
        <v>0</v>
      </c>
      <c r="P46" s="428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46">
        <f t="shared" si="1"/>
        <v>0</v>
      </c>
      <c r="AG46" s="392">
        <f t="shared" si="2"/>
        <v>0</v>
      </c>
      <c r="AH46" s="372"/>
      <c r="AI46" s="372"/>
      <c r="AJ46" s="372"/>
      <c r="AK46" s="372"/>
      <c r="AL46" s="372"/>
      <c r="AY46" s="366"/>
      <c r="AZ46" s="366"/>
      <c r="BA46" s="366"/>
      <c r="BB46" s="366"/>
      <c r="BC46" s="366"/>
      <c r="BD46" s="366"/>
      <c r="BE46" s="366"/>
      <c r="BF46" s="366"/>
      <c r="BG46" s="366"/>
      <c r="BH46" s="366"/>
      <c r="BI46" s="366"/>
      <c r="BJ46" s="366"/>
      <c r="BK46" s="366"/>
      <c r="BL46" s="366"/>
      <c r="BM46" s="366"/>
      <c r="BN46" s="366"/>
      <c r="BO46" s="366"/>
      <c r="BP46" s="366"/>
      <c r="BQ46" s="366"/>
      <c r="BR46" s="366"/>
      <c r="BS46" s="366"/>
      <c r="BT46" s="366"/>
      <c r="BU46" s="366"/>
      <c r="BV46" s="366"/>
    </row>
    <row r="47" spans="1:74" ht="27" thickBot="1">
      <c r="A47" s="373"/>
      <c r="B47" s="374" t="s">
        <v>28</v>
      </c>
      <c r="C47" s="375">
        <f>ROUNDUP(SUM(C12:C46)*120%,0)</f>
        <v>305</v>
      </c>
      <c r="D47" s="375">
        <f>ROUNDUP(SUM(D12:D46)*120%,0)</f>
        <v>167</v>
      </c>
      <c r="E47" s="375">
        <f>ROUNDUP(SUM(E12:E46),0)</f>
        <v>275</v>
      </c>
      <c r="F47" s="375">
        <f>ROUNDUP(SUM(F12:F46)*120%,0)</f>
        <v>478</v>
      </c>
      <c r="G47" s="375">
        <f>ROUNDUP(SUM(G12:G46)*120%,0)</f>
        <v>491</v>
      </c>
      <c r="H47" s="375">
        <f>ROUNDUP(SUM(H12:H46),0)</f>
        <v>96</v>
      </c>
      <c r="I47" s="375">
        <f>ROUNDUP(SUM(I12:I46)*120%,0)</f>
        <v>112</v>
      </c>
      <c r="J47" s="375">
        <f t="shared" ref="J47:AL47" si="7">ROUNDUP(SUM(J12:J46),0)</f>
        <v>637</v>
      </c>
      <c r="K47" s="375">
        <f t="shared" si="7"/>
        <v>151</v>
      </c>
      <c r="L47" s="375">
        <f t="shared" si="7"/>
        <v>189</v>
      </c>
      <c r="M47" s="375">
        <f t="shared" si="7"/>
        <v>15</v>
      </c>
      <c r="N47" s="375">
        <f t="shared" si="7"/>
        <v>23</v>
      </c>
      <c r="O47" s="375">
        <f t="shared" si="7"/>
        <v>151</v>
      </c>
      <c r="P47" s="375">
        <f t="shared" si="7"/>
        <v>753</v>
      </c>
      <c r="Q47" s="375">
        <f t="shared" si="7"/>
        <v>1736</v>
      </c>
      <c r="R47" s="375">
        <f t="shared" si="7"/>
        <v>316</v>
      </c>
      <c r="S47" s="375">
        <f t="shared" si="7"/>
        <v>493</v>
      </c>
      <c r="T47" s="375">
        <f t="shared" si="7"/>
        <v>129</v>
      </c>
      <c r="U47" s="375">
        <f t="shared" si="7"/>
        <v>3035</v>
      </c>
      <c r="V47" s="375">
        <f t="shared" si="7"/>
        <v>145</v>
      </c>
      <c r="W47" s="375">
        <f t="shared" si="7"/>
        <v>277</v>
      </c>
      <c r="X47" s="375">
        <f t="shared" si="7"/>
        <v>242</v>
      </c>
      <c r="Y47" s="375">
        <f t="shared" si="7"/>
        <v>0</v>
      </c>
      <c r="Z47" s="375">
        <f t="shared" si="7"/>
        <v>1088</v>
      </c>
      <c r="AA47" s="375">
        <f t="shared" si="7"/>
        <v>198</v>
      </c>
      <c r="AB47" s="375">
        <f t="shared" si="7"/>
        <v>707</v>
      </c>
      <c r="AC47" s="375">
        <f t="shared" si="7"/>
        <v>151</v>
      </c>
      <c r="AD47" s="375">
        <f t="shared" si="7"/>
        <v>1651</v>
      </c>
      <c r="AE47" s="375">
        <f t="shared" si="7"/>
        <v>3261</v>
      </c>
      <c r="AF47" s="375">
        <f t="shared" si="7"/>
        <v>2144</v>
      </c>
      <c r="AG47" s="375">
        <f t="shared" si="7"/>
        <v>637</v>
      </c>
      <c r="AH47" s="375">
        <f t="shared" si="7"/>
        <v>383</v>
      </c>
      <c r="AI47" s="375">
        <f t="shared" si="7"/>
        <v>383</v>
      </c>
      <c r="AJ47" s="375">
        <f t="shared" si="7"/>
        <v>65</v>
      </c>
      <c r="AK47" s="375">
        <f t="shared" si="7"/>
        <v>36</v>
      </c>
      <c r="AL47" s="375">
        <f t="shared" si="7"/>
        <v>96</v>
      </c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6"/>
      <c r="BJ47" s="366"/>
      <c r="BK47" s="366"/>
      <c r="BL47" s="366"/>
      <c r="BM47" s="366"/>
      <c r="BN47" s="366"/>
      <c r="BO47" s="366"/>
      <c r="BP47" s="366"/>
      <c r="BQ47" s="366"/>
      <c r="BR47" s="366"/>
      <c r="BS47" s="366"/>
      <c r="BT47" s="366"/>
      <c r="BU47" s="366"/>
      <c r="BV47" s="366"/>
    </row>
    <row r="48" spans="1:74" s="353" customFormat="1" ht="24.75" thickTop="1"/>
    <row r="49" spans="1:74">
      <c r="A49" s="62"/>
      <c r="B49" s="353" t="s">
        <v>634</v>
      </c>
      <c r="D49" s="376"/>
      <c r="E49" s="376"/>
      <c r="F49" s="376"/>
      <c r="G49" s="376"/>
      <c r="H49" s="376"/>
      <c r="K49" s="376"/>
      <c r="L49" s="376"/>
      <c r="M49" s="376"/>
      <c r="N49" s="376"/>
      <c r="O49" s="376"/>
      <c r="P49" s="376"/>
      <c r="Q49" s="376"/>
      <c r="R49" s="376"/>
      <c r="X49" s="62"/>
      <c r="Y49" s="62"/>
    </row>
    <row r="50" spans="1:74">
      <c r="A50" s="62"/>
      <c r="B50" s="377" t="s">
        <v>635</v>
      </c>
      <c r="C50" s="378">
        <v>8346</v>
      </c>
      <c r="D50" s="353" t="s">
        <v>636</v>
      </c>
      <c r="G50" s="376"/>
      <c r="H50" s="376"/>
      <c r="I50" s="376"/>
      <c r="J50" s="376"/>
      <c r="K50" s="376"/>
      <c r="L50" s="376"/>
      <c r="T50" s="62"/>
      <c r="BR50" s="366"/>
      <c r="BS50" s="366"/>
      <c r="BT50" s="366"/>
      <c r="BU50" s="366"/>
      <c r="BV50" s="366"/>
    </row>
    <row r="51" spans="1:74">
      <c r="A51" s="379"/>
      <c r="B51" s="377" t="s">
        <v>637</v>
      </c>
      <c r="C51" s="380">
        <f>AG47</f>
        <v>637</v>
      </c>
      <c r="D51" s="353" t="s">
        <v>6</v>
      </c>
      <c r="F51" s="376"/>
      <c r="G51" s="376"/>
      <c r="H51" s="376"/>
      <c r="I51" s="381"/>
      <c r="J51" s="376"/>
      <c r="K51" s="376"/>
      <c r="L51" s="376"/>
      <c r="T51" s="62"/>
      <c r="BR51" s="366"/>
      <c r="BS51" s="366"/>
      <c r="BT51" s="366"/>
      <c r="BU51" s="366"/>
      <c r="BV51" s="366"/>
    </row>
    <row r="52" spans="1:74">
      <c r="A52" s="116"/>
      <c r="B52" s="377" t="s">
        <v>638</v>
      </c>
      <c r="C52" s="380">
        <f>ROUND(2*C51/20,0)</f>
        <v>64</v>
      </c>
      <c r="D52" s="353" t="s">
        <v>639</v>
      </c>
      <c r="J52" s="376"/>
      <c r="K52" s="376"/>
      <c r="L52" s="376"/>
      <c r="T52" s="62"/>
      <c r="BR52" s="366"/>
      <c r="BS52" s="366"/>
      <c r="BT52" s="366"/>
      <c r="BU52" s="366"/>
      <c r="BV52" s="366"/>
    </row>
    <row r="53" spans="1:74">
      <c r="B53" s="377" t="s">
        <v>640</v>
      </c>
      <c r="C53" s="382">
        <f>C52*C50</f>
        <v>534144</v>
      </c>
      <c r="D53" s="353" t="s">
        <v>51</v>
      </c>
      <c r="F53" s="376"/>
      <c r="G53" s="383"/>
      <c r="H53" s="383"/>
      <c r="I53" s="383"/>
      <c r="J53" s="383"/>
      <c r="K53" s="383"/>
      <c r="L53" s="383"/>
      <c r="M53" s="384"/>
      <c r="N53" s="384"/>
      <c r="Q53" s="384"/>
      <c r="R53" s="384"/>
      <c r="S53" s="384"/>
      <c r="T53" s="384"/>
      <c r="BR53" s="366"/>
      <c r="BS53" s="366"/>
      <c r="BT53" s="366"/>
      <c r="BU53" s="366"/>
      <c r="BV53" s="366"/>
    </row>
    <row r="54" spans="1:74">
      <c r="B54" s="377" t="s">
        <v>641</v>
      </c>
      <c r="C54" s="380">
        <f>C51*34</f>
        <v>21658</v>
      </c>
      <c r="D54" s="353" t="s">
        <v>51</v>
      </c>
      <c r="F54" s="376"/>
      <c r="G54" s="376"/>
      <c r="H54" s="376"/>
      <c r="I54" s="376"/>
      <c r="J54" s="376"/>
      <c r="K54" s="376"/>
      <c r="L54" s="376"/>
      <c r="BR54" s="366"/>
      <c r="BS54" s="366"/>
      <c r="BT54" s="366"/>
      <c r="BU54" s="366"/>
      <c r="BV54" s="366"/>
    </row>
    <row r="55" spans="1:74">
      <c r="A55" s="62"/>
      <c r="B55" s="377" t="s">
        <v>642</v>
      </c>
      <c r="C55" s="382">
        <f>C52*C50/C51</f>
        <v>838.53061224489795</v>
      </c>
      <c r="D55" s="353" t="s">
        <v>51</v>
      </c>
      <c r="F55" s="376"/>
      <c r="G55" s="376"/>
      <c r="H55" s="376"/>
      <c r="I55" s="376"/>
      <c r="J55" s="376"/>
      <c r="K55" s="376"/>
      <c r="L55" s="376"/>
      <c r="T55" s="62"/>
      <c r="BR55" s="366"/>
      <c r="BS55" s="366"/>
      <c r="BT55" s="366"/>
      <c r="BU55" s="366"/>
      <c r="BV55" s="366"/>
    </row>
    <row r="56" spans="1:74">
      <c r="B56" s="377" t="s">
        <v>643</v>
      </c>
      <c r="C56" s="380">
        <f>C51*34/C51</f>
        <v>34</v>
      </c>
      <c r="D56" s="353" t="s">
        <v>51</v>
      </c>
      <c r="F56" s="376"/>
      <c r="G56" s="376"/>
      <c r="H56" s="376"/>
      <c r="I56" s="376"/>
      <c r="J56" s="376"/>
      <c r="K56" s="376"/>
      <c r="L56" s="376"/>
      <c r="T56" s="62"/>
      <c r="BR56" s="366"/>
      <c r="BS56" s="366"/>
      <c r="BT56" s="366"/>
      <c r="BU56" s="366"/>
      <c r="BV56" s="366"/>
    </row>
    <row r="57" spans="1:74"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BR57" s="366"/>
      <c r="BS57" s="366"/>
      <c r="BT57" s="366"/>
      <c r="BU57" s="366"/>
      <c r="BV57" s="366"/>
    </row>
    <row r="58" spans="1:74">
      <c r="B58" s="385" t="s">
        <v>644</v>
      </c>
      <c r="C58" s="385"/>
      <c r="D58" s="385"/>
      <c r="E58" s="385"/>
      <c r="F58" s="376"/>
      <c r="G58" s="376"/>
      <c r="H58" s="376"/>
      <c r="I58" s="376"/>
      <c r="J58" s="376"/>
      <c r="K58" s="376"/>
      <c r="L58" s="376"/>
      <c r="BR58" s="366"/>
      <c r="BS58" s="366"/>
      <c r="BT58" s="366"/>
      <c r="BU58" s="366"/>
      <c r="BV58" s="366"/>
    </row>
    <row r="59" spans="1:74">
      <c r="B59" s="386" t="s">
        <v>635</v>
      </c>
      <c r="C59" s="387">
        <v>8346</v>
      </c>
      <c r="D59" s="385" t="s">
        <v>636</v>
      </c>
      <c r="E59" s="385"/>
      <c r="F59" s="376"/>
      <c r="G59" s="376"/>
      <c r="H59" s="376"/>
      <c r="I59" s="376"/>
      <c r="J59" s="376"/>
      <c r="K59" s="376"/>
      <c r="L59" s="376"/>
      <c r="BR59" s="366"/>
      <c r="BS59" s="366"/>
      <c r="BT59" s="366"/>
      <c r="BU59" s="366"/>
      <c r="BV59" s="366"/>
    </row>
    <row r="60" spans="1:74">
      <c r="B60" s="386" t="s">
        <v>645</v>
      </c>
      <c r="C60" s="388">
        <v>20</v>
      </c>
      <c r="D60" s="385" t="s">
        <v>646</v>
      </c>
      <c r="E60" s="385"/>
      <c r="F60" s="376"/>
      <c r="G60" s="376"/>
      <c r="H60" s="376"/>
      <c r="I60" s="376"/>
      <c r="J60" s="376"/>
      <c r="K60" s="376"/>
      <c r="L60" s="376"/>
      <c r="BR60" s="366"/>
      <c r="BS60" s="366"/>
      <c r="BT60" s="366"/>
      <c r="BU60" s="366"/>
      <c r="BV60" s="366"/>
    </row>
    <row r="61" spans="1:74">
      <c r="B61" s="386" t="s">
        <v>328</v>
      </c>
      <c r="C61" s="385">
        <f>C59/C60</f>
        <v>417.3</v>
      </c>
      <c r="D61" s="385" t="s">
        <v>647</v>
      </c>
      <c r="E61" s="385"/>
      <c r="F61" s="376"/>
      <c r="G61" s="376"/>
      <c r="H61" s="376"/>
      <c r="I61" s="376"/>
      <c r="J61" s="376"/>
      <c r="K61" s="376"/>
      <c r="L61" s="376"/>
      <c r="BR61" s="366"/>
      <c r="BS61" s="366"/>
      <c r="BT61" s="366"/>
      <c r="BU61" s="366"/>
      <c r="BV61" s="366"/>
    </row>
    <row r="62" spans="1:74">
      <c r="B62" s="386" t="s">
        <v>648</v>
      </c>
      <c r="C62" s="388">
        <f>ROUND(2*C60/20,0)</f>
        <v>2</v>
      </c>
      <c r="D62" s="385" t="s">
        <v>649</v>
      </c>
      <c r="E62" s="385"/>
      <c r="BR62" s="366"/>
      <c r="BS62" s="366"/>
      <c r="BT62" s="366"/>
      <c r="BU62" s="366"/>
      <c r="BV62" s="366"/>
    </row>
    <row r="63" spans="1:74">
      <c r="B63" s="386" t="s">
        <v>14</v>
      </c>
      <c r="C63" s="389">
        <f>C61*C62</f>
        <v>834.6</v>
      </c>
      <c r="D63" s="385" t="s">
        <v>329</v>
      </c>
      <c r="E63" s="385"/>
      <c r="BR63" s="366"/>
      <c r="BS63" s="366"/>
      <c r="BT63" s="366"/>
      <c r="BU63" s="366"/>
      <c r="BV63" s="366"/>
    </row>
    <row r="64" spans="1:74">
      <c r="B64" s="386" t="s">
        <v>424</v>
      </c>
      <c r="C64" s="388">
        <f>C60*34/C60</f>
        <v>34</v>
      </c>
      <c r="D64" s="385" t="s">
        <v>329</v>
      </c>
      <c r="E64" s="385"/>
      <c r="BR64" s="366"/>
      <c r="BS64" s="366"/>
      <c r="BT64" s="366"/>
      <c r="BU64" s="366"/>
      <c r="BV64" s="366"/>
    </row>
  </sheetData>
  <sheetProtection algorithmName="SHA-512" hashValue="zN9syoBR0R8Lxmdx6FV+3q9Eg74ZByP/hocI8gzQKx17ON8jgM7XIvrXnuNDzZx854METAU++KHx5AXnY8+mWQ==" saltValue="5C+uFEGjx2tdIQt5lRCaDg==" spinCount="100000" sheet="1" objects="1" scenarios="1" selectLockedCells="1" selectUnlockedCells="1"/>
  <mergeCells count="10">
    <mergeCell ref="A2:AL2"/>
    <mergeCell ref="A8:A11"/>
    <mergeCell ref="B8:B10"/>
    <mergeCell ref="C8:O8"/>
    <mergeCell ref="Q8:T8"/>
    <mergeCell ref="U8:W8"/>
    <mergeCell ref="X8:Y8"/>
    <mergeCell ref="Z8:AC8"/>
    <mergeCell ref="AD8:AG8"/>
    <mergeCell ref="AH8:AL8"/>
  </mergeCells>
  <phoneticPr fontId="11" type="noConversion"/>
  <pageMargins left="0.17" right="0.17" top="0.4" bottom="0.31" header="0.31496062992125984" footer="0.18"/>
  <pageSetup paperSize="9" scale="65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3"/>
  <sheetViews>
    <sheetView zoomScale="70" zoomScaleNormal="70" workbookViewId="0">
      <selection activeCell="B15" sqref="B15"/>
    </sheetView>
  </sheetViews>
  <sheetFormatPr defaultRowHeight="21.75"/>
  <cols>
    <col min="1" max="1" width="9.28515625" style="209"/>
    <col min="2" max="2" width="47.5703125" style="209" customWidth="1"/>
    <col min="3" max="11" width="12.5703125" style="208" customWidth="1"/>
    <col min="12" max="12" width="11" style="208" customWidth="1"/>
    <col min="13" max="13" width="9.28515625" style="208"/>
    <col min="14" max="15" width="9.28515625" style="209"/>
    <col min="16" max="16" width="14.42578125" style="209" customWidth="1"/>
    <col min="17" max="24" width="9.28515625" style="209"/>
    <col min="25" max="250" width="9.28515625" style="57"/>
    <col min="251" max="251" width="80.28515625" style="57" customWidth="1"/>
    <col min="252" max="253" width="12.5703125" style="57" customWidth="1"/>
    <col min="254" max="254" width="15.28515625" style="57" customWidth="1"/>
    <col min="255" max="257" width="12.5703125" style="57" customWidth="1"/>
    <col min="258" max="258" width="16.42578125" style="57" customWidth="1"/>
    <col min="259" max="267" width="12.5703125" style="57" customWidth="1"/>
    <col min="268" max="268" width="11" style="57" customWidth="1"/>
    <col min="269" max="271" width="9.28515625" style="57"/>
    <col min="272" max="272" width="14.42578125" style="57" customWidth="1"/>
    <col min="273" max="506" width="9.28515625" style="57"/>
    <col min="507" max="507" width="80.28515625" style="57" customWidth="1"/>
    <col min="508" max="509" width="12.5703125" style="57" customWidth="1"/>
    <col min="510" max="510" width="15.28515625" style="57" customWidth="1"/>
    <col min="511" max="513" width="12.5703125" style="57" customWidth="1"/>
    <col min="514" max="514" width="16.42578125" style="57" customWidth="1"/>
    <col min="515" max="523" width="12.5703125" style="57" customWidth="1"/>
    <col min="524" max="524" width="11" style="57" customWidth="1"/>
    <col min="525" max="527" width="9.28515625" style="57"/>
    <col min="528" max="528" width="14.42578125" style="57" customWidth="1"/>
    <col min="529" max="762" width="9.28515625" style="57"/>
    <col min="763" max="763" width="80.28515625" style="57" customWidth="1"/>
    <col min="764" max="765" width="12.5703125" style="57" customWidth="1"/>
    <col min="766" max="766" width="15.28515625" style="57" customWidth="1"/>
    <col min="767" max="769" width="12.5703125" style="57" customWidth="1"/>
    <col min="770" max="770" width="16.42578125" style="57" customWidth="1"/>
    <col min="771" max="779" width="12.5703125" style="57" customWidth="1"/>
    <col min="780" max="780" width="11" style="57" customWidth="1"/>
    <col min="781" max="783" width="9.28515625" style="57"/>
    <col min="784" max="784" width="14.42578125" style="57" customWidth="1"/>
    <col min="785" max="1018" width="9.28515625" style="57"/>
    <col min="1019" max="1019" width="80.28515625" style="57" customWidth="1"/>
    <col min="1020" max="1021" width="12.5703125" style="57" customWidth="1"/>
    <col min="1022" max="1022" width="15.28515625" style="57" customWidth="1"/>
    <col min="1023" max="1025" width="12.5703125" style="57" customWidth="1"/>
    <col min="1026" max="1026" width="16.42578125" style="57" customWidth="1"/>
    <col min="1027" max="1035" width="12.5703125" style="57" customWidth="1"/>
    <col min="1036" max="1036" width="11" style="57" customWidth="1"/>
    <col min="1037" max="1039" width="9.28515625" style="57"/>
    <col min="1040" max="1040" width="14.42578125" style="57" customWidth="1"/>
    <col min="1041" max="1274" width="9.28515625" style="57"/>
    <col min="1275" max="1275" width="80.28515625" style="57" customWidth="1"/>
    <col min="1276" max="1277" width="12.5703125" style="57" customWidth="1"/>
    <col min="1278" max="1278" width="15.28515625" style="57" customWidth="1"/>
    <col min="1279" max="1281" width="12.5703125" style="57" customWidth="1"/>
    <col min="1282" max="1282" width="16.42578125" style="57" customWidth="1"/>
    <col min="1283" max="1291" width="12.5703125" style="57" customWidth="1"/>
    <col min="1292" max="1292" width="11" style="57" customWidth="1"/>
    <col min="1293" max="1295" width="9.28515625" style="57"/>
    <col min="1296" max="1296" width="14.42578125" style="57" customWidth="1"/>
    <col min="1297" max="1530" width="9.28515625" style="57"/>
    <col min="1531" max="1531" width="80.28515625" style="57" customWidth="1"/>
    <col min="1532" max="1533" width="12.5703125" style="57" customWidth="1"/>
    <col min="1534" max="1534" width="15.28515625" style="57" customWidth="1"/>
    <col min="1535" max="1537" width="12.5703125" style="57" customWidth="1"/>
    <col min="1538" max="1538" width="16.42578125" style="57" customWidth="1"/>
    <col min="1539" max="1547" width="12.5703125" style="57" customWidth="1"/>
    <col min="1548" max="1548" width="11" style="57" customWidth="1"/>
    <col min="1549" max="1551" width="9.28515625" style="57"/>
    <col min="1552" max="1552" width="14.42578125" style="57" customWidth="1"/>
    <col min="1553" max="1786" width="9.28515625" style="57"/>
    <col min="1787" max="1787" width="80.28515625" style="57" customWidth="1"/>
    <col min="1788" max="1789" width="12.5703125" style="57" customWidth="1"/>
    <col min="1790" max="1790" width="15.28515625" style="57" customWidth="1"/>
    <col min="1791" max="1793" width="12.5703125" style="57" customWidth="1"/>
    <col min="1794" max="1794" width="16.42578125" style="57" customWidth="1"/>
    <col min="1795" max="1803" width="12.5703125" style="57" customWidth="1"/>
    <col min="1804" max="1804" width="11" style="57" customWidth="1"/>
    <col min="1805" max="1807" width="9.28515625" style="57"/>
    <col min="1808" max="1808" width="14.42578125" style="57" customWidth="1"/>
    <col min="1809" max="2042" width="9.28515625" style="57"/>
    <col min="2043" max="2043" width="80.28515625" style="57" customWidth="1"/>
    <col min="2044" max="2045" width="12.5703125" style="57" customWidth="1"/>
    <col min="2046" max="2046" width="15.28515625" style="57" customWidth="1"/>
    <col min="2047" max="2049" width="12.5703125" style="57" customWidth="1"/>
    <col min="2050" max="2050" width="16.42578125" style="57" customWidth="1"/>
    <col min="2051" max="2059" width="12.5703125" style="57" customWidth="1"/>
    <col min="2060" max="2060" width="11" style="57" customWidth="1"/>
    <col min="2061" max="2063" width="9.28515625" style="57"/>
    <col min="2064" max="2064" width="14.42578125" style="57" customWidth="1"/>
    <col min="2065" max="2298" width="9.28515625" style="57"/>
    <col min="2299" max="2299" width="80.28515625" style="57" customWidth="1"/>
    <col min="2300" max="2301" width="12.5703125" style="57" customWidth="1"/>
    <col min="2302" max="2302" width="15.28515625" style="57" customWidth="1"/>
    <col min="2303" max="2305" width="12.5703125" style="57" customWidth="1"/>
    <col min="2306" max="2306" width="16.42578125" style="57" customWidth="1"/>
    <col min="2307" max="2315" width="12.5703125" style="57" customWidth="1"/>
    <col min="2316" max="2316" width="11" style="57" customWidth="1"/>
    <col min="2317" max="2319" width="9.28515625" style="57"/>
    <col min="2320" max="2320" width="14.42578125" style="57" customWidth="1"/>
    <col min="2321" max="2554" width="9.28515625" style="57"/>
    <col min="2555" max="2555" width="80.28515625" style="57" customWidth="1"/>
    <col min="2556" max="2557" width="12.5703125" style="57" customWidth="1"/>
    <col min="2558" max="2558" width="15.28515625" style="57" customWidth="1"/>
    <col min="2559" max="2561" width="12.5703125" style="57" customWidth="1"/>
    <col min="2562" max="2562" width="16.42578125" style="57" customWidth="1"/>
    <col min="2563" max="2571" width="12.5703125" style="57" customWidth="1"/>
    <col min="2572" max="2572" width="11" style="57" customWidth="1"/>
    <col min="2573" max="2575" width="9.28515625" style="57"/>
    <col min="2576" max="2576" width="14.42578125" style="57" customWidth="1"/>
    <col min="2577" max="2810" width="9.28515625" style="57"/>
    <col min="2811" max="2811" width="80.28515625" style="57" customWidth="1"/>
    <col min="2812" max="2813" width="12.5703125" style="57" customWidth="1"/>
    <col min="2814" max="2814" width="15.28515625" style="57" customWidth="1"/>
    <col min="2815" max="2817" width="12.5703125" style="57" customWidth="1"/>
    <col min="2818" max="2818" width="16.42578125" style="57" customWidth="1"/>
    <col min="2819" max="2827" width="12.5703125" style="57" customWidth="1"/>
    <col min="2828" max="2828" width="11" style="57" customWidth="1"/>
    <col min="2829" max="2831" width="9.28515625" style="57"/>
    <col min="2832" max="2832" width="14.42578125" style="57" customWidth="1"/>
    <col min="2833" max="3066" width="9.28515625" style="57"/>
    <col min="3067" max="3067" width="80.28515625" style="57" customWidth="1"/>
    <col min="3068" max="3069" width="12.5703125" style="57" customWidth="1"/>
    <col min="3070" max="3070" width="15.28515625" style="57" customWidth="1"/>
    <col min="3071" max="3073" width="12.5703125" style="57" customWidth="1"/>
    <col min="3074" max="3074" width="16.42578125" style="57" customWidth="1"/>
    <col min="3075" max="3083" width="12.5703125" style="57" customWidth="1"/>
    <col min="3084" max="3084" width="11" style="57" customWidth="1"/>
    <col min="3085" max="3087" width="9.28515625" style="57"/>
    <col min="3088" max="3088" width="14.42578125" style="57" customWidth="1"/>
    <col min="3089" max="3322" width="9.28515625" style="57"/>
    <col min="3323" max="3323" width="80.28515625" style="57" customWidth="1"/>
    <col min="3324" max="3325" width="12.5703125" style="57" customWidth="1"/>
    <col min="3326" max="3326" width="15.28515625" style="57" customWidth="1"/>
    <col min="3327" max="3329" width="12.5703125" style="57" customWidth="1"/>
    <col min="3330" max="3330" width="16.42578125" style="57" customWidth="1"/>
    <col min="3331" max="3339" width="12.5703125" style="57" customWidth="1"/>
    <col min="3340" max="3340" width="11" style="57" customWidth="1"/>
    <col min="3341" max="3343" width="9.28515625" style="57"/>
    <col min="3344" max="3344" width="14.42578125" style="57" customWidth="1"/>
    <col min="3345" max="3578" width="9.28515625" style="57"/>
    <col min="3579" max="3579" width="80.28515625" style="57" customWidth="1"/>
    <col min="3580" max="3581" width="12.5703125" style="57" customWidth="1"/>
    <col min="3582" max="3582" width="15.28515625" style="57" customWidth="1"/>
    <col min="3583" max="3585" width="12.5703125" style="57" customWidth="1"/>
    <col min="3586" max="3586" width="16.42578125" style="57" customWidth="1"/>
    <col min="3587" max="3595" width="12.5703125" style="57" customWidth="1"/>
    <col min="3596" max="3596" width="11" style="57" customWidth="1"/>
    <col min="3597" max="3599" width="9.28515625" style="57"/>
    <col min="3600" max="3600" width="14.42578125" style="57" customWidth="1"/>
    <col min="3601" max="3834" width="9.28515625" style="57"/>
    <col min="3835" max="3835" width="80.28515625" style="57" customWidth="1"/>
    <col min="3836" max="3837" width="12.5703125" style="57" customWidth="1"/>
    <col min="3838" max="3838" width="15.28515625" style="57" customWidth="1"/>
    <col min="3839" max="3841" width="12.5703125" style="57" customWidth="1"/>
    <col min="3842" max="3842" width="16.42578125" style="57" customWidth="1"/>
    <col min="3843" max="3851" width="12.5703125" style="57" customWidth="1"/>
    <col min="3852" max="3852" width="11" style="57" customWidth="1"/>
    <col min="3853" max="3855" width="9.28515625" style="57"/>
    <col min="3856" max="3856" width="14.42578125" style="57" customWidth="1"/>
    <col min="3857" max="4090" width="9.28515625" style="57"/>
    <col min="4091" max="4091" width="80.28515625" style="57" customWidth="1"/>
    <col min="4092" max="4093" width="12.5703125" style="57" customWidth="1"/>
    <col min="4094" max="4094" width="15.28515625" style="57" customWidth="1"/>
    <col min="4095" max="4097" width="12.5703125" style="57" customWidth="1"/>
    <col min="4098" max="4098" width="16.42578125" style="57" customWidth="1"/>
    <col min="4099" max="4107" width="12.5703125" style="57" customWidth="1"/>
    <col min="4108" max="4108" width="11" style="57" customWidth="1"/>
    <col min="4109" max="4111" width="9.28515625" style="57"/>
    <col min="4112" max="4112" width="14.42578125" style="57" customWidth="1"/>
    <col min="4113" max="4346" width="9.28515625" style="57"/>
    <col min="4347" max="4347" width="80.28515625" style="57" customWidth="1"/>
    <col min="4348" max="4349" width="12.5703125" style="57" customWidth="1"/>
    <col min="4350" max="4350" width="15.28515625" style="57" customWidth="1"/>
    <col min="4351" max="4353" width="12.5703125" style="57" customWidth="1"/>
    <col min="4354" max="4354" width="16.42578125" style="57" customWidth="1"/>
    <col min="4355" max="4363" width="12.5703125" style="57" customWidth="1"/>
    <col min="4364" max="4364" width="11" style="57" customWidth="1"/>
    <col min="4365" max="4367" width="9.28515625" style="57"/>
    <col min="4368" max="4368" width="14.42578125" style="57" customWidth="1"/>
    <col min="4369" max="4602" width="9.28515625" style="57"/>
    <col min="4603" max="4603" width="80.28515625" style="57" customWidth="1"/>
    <col min="4604" max="4605" width="12.5703125" style="57" customWidth="1"/>
    <col min="4606" max="4606" width="15.28515625" style="57" customWidth="1"/>
    <col min="4607" max="4609" width="12.5703125" style="57" customWidth="1"/>
    <col min="4610" max="4610" width="16.42578125" style="57" customWidth="1"/>
    <col min="4611" max="4619" width="12.5703125" style="57" customWidth="1"/>
    <col min="4620" max="4620" width="11" style="57" customWidth="1"/>
    <col min="4621" max="4623" width="9.28515625" style="57"/>
    <col min="4624" max="4624" width="14.42578125" style="57" customWidth="1"/>
    <col min="4625" max="4858" width="9.28515625" style="57"/>
    <col min="4859" max="4859" width="80.28515625" style="57" customWidth="1"/>
    <col min="4860" max="4861" width="12.5703125" style="57" customWidth="1"/>
    <col min="4862" max="4862" width="15.28515625" style="57" customWidth="1"/>
    <col min="4863" max="4865" width="12.5703125" style="57" customWidth="1"/>
    <col min="4866" max="4866" width="16.42578125" style="57" customWidth="1"/>
    <col min="4867" max="4875" width="12.5703125" style="57" customWidth="1"/>
    <col min="4876" max="4876" width="11" style="57" customWidth="1"/>
    <col min="4877" max="4879" width="9.28515625" style="57"/>
    <col min="4880" max="4880" width="14.42578125" style="57" customWidth="1"/>
    <col min="4881" max="5114" width="9.28515625" style="57"/>
    <col min="5115" max="5115" width="80.28515625" style="57" customWidth="1"/>
    <col min="5116" max="5117" width="12.5703125" style="57" customWidth="1"/>
    <col min="5118" max="5118" width="15.28515625" style="57" customWidth="1"/>
    <col min="5119" max="5121" width="12.5703125" style="57" customWidth="1"/>
    <col min="5122" max="5122" width="16.42578125" style="57" customWidth="1"/>
    <col min="5123" max="5131" width="12.5703125" style="57" customWidth="1"/>
    <col min="5132" max="5132" width="11" style="57" customWidth="1"/>
    <col min="5133" max="5135" width="9.28515625" style="57"/>
    <col min="5136" max="5136" width="14.42578125" style="57" customWidth="1"/>
    <col min="5137" max="5370" width="9.28515625" style="57"/>
    <col min="5371" max="5371" width="80.28515625" style="57" customWidth="1"/>
    <col min="5372" max="5373" width="12.5703125" style="57" customWidth="1"/>
    <col min="5374" max="5374" width="15.28515625" style="57" customWidth="1"/>
    <col min="5375" max="5377" width="12.5703125" style="57" customWidth="1"/>
    <col min="5378" max="5378" width="16.42578125" style="57" customWidth="1"/>
    <col min="5379" max="5387" width="12.5703125" style="57" customWidth="1"/>
    <col min="5388" max="5388" width="11" style="57" customWidth="1"/>
    <col min="5389" max="5391" width="9.28515625" style="57"/>
    <col min="5392" max="5392" width="14.42578125" style="57" customWidth="1"/>
    <col min="5393" max="5626" width="9.28515625" style="57"/>
    <col min="5627" max="5627" width="80.28515625" style="57" customWidth="1"/>
    <col min="5628" max="5629" width="12.5703125" style="57" customWidth="1"/>
    <col min="5630" max="5630" width="15.28515625" style="57" customWidth="1"/>
    <col min="5631" max="5633" width="12.5703125" style="57" customWidth="1"/>
    <col min="5634" max="5634" width="16.42578125" style="57" customWidth="1"/>
    <col min="5635" max="5643" width="12.5703125" style="57" customWidth="1"/>
    <col min="5644" max="5644" width="11" style="57" customWidth="1"/>
    <col min="5645" max="5647" width="9.28515625" style="57"/>
    <col min="5648" max="5648" width="14.42578125" style="57" customWidth="1"/>
    <col min="5649" max="5882" width="9.28515625" style="57"/>
    <col min="5883" max="5883" width="80.28515625" style="57" customWidth="1"/>
    <col min="5884" max="5885" width="12.5703125" style="57" customWidth="1"/>
    <col min="5886" max="5886" width="15.28515625" style="57" customWidth="1"/>
    <col min="5887" max="5889" width="12.5703125" style="57" customWidth="1"/>
    <col min="5890" max="5890" width="16.42578125" style="57" customWidth="1"/>
    <col min="5891" max="5899" width="12.5703125" style="57" customWidth="1"/>
    <col min="5900" max="5900" width="11" style="57" customWidth="1"/>
    <col min="5901" max="5903" width="9.28515625" style="57"/>
    <col min="5904" max="5904" width="14.42578125" style="57" customWidth="1"/>
    <col min="5905" max="6138" width="9.28515625" style="57"/>
    <col min="6139" max="6139" width="80.28515625" style="57" customWidth="1"/>
    <col min="6140" max="6141" width="12.5703125" style="57" customWidth="1"/>
    <col min="6142" max="6142" width="15.28515625" style="57" customWidth="1"/>
    <col min="6143" max="6145" width="12.5703125" style="57" customWidth="1"/>
    <col min="6146" max="6146" width="16.42578125" style="57" customWidth="1"/>
    <col min="6147" max="6155" width="12.5703125" style="57" customWidth="1"/>
    <col min="6156" max="6156" width="11" style="57" customWidth="1"/>
    <col min="6157" max="6159" width="9.28515625" style="57"/>
    <col min="6160" max="6160" width="14.42578125" style="57" customWidth="1"/>
    <col min="6161" max="6394" width="9.28515625" style="57"/>
    <col min="6395" max="6395" width="80.28515625" style="57" customWidth="1"/>
    <col min="6396" max="6397" width="12.5703125" style="57" customWidth="1"/>
    <col min="6398" max="6398" width="15.28515625" style="57" customWidth="1"/>
    <col min="6399" max="6401" width="12.5703125" style="57" customWidth="1"/>
    <col min="6402" max="6402" width="16.42578125" style="57" customWidth="1"/>
    <col min="6403" max="6411" width="12.5703125" style="57" customWidth="1"/>
    <col min="6412" max="6412" width="11" style="57" customWidth="1"/>
    <col min="6413" max="6415" width="9.28515625" style="57"/>
    <col min="6416" max="6416" width="14.42578125" style="57" customWidth="1"/>
    <col min="6417" max="6650" width="9.28515625" style="57"/>
    <col min="6651" max="6651" width="80.28515625" style="57" customWidth="1"/>
    <col min="6652" max="6653" width="12.5703125" style="57" customWidth="1"/>
    <col min="6654" max="6654" width="15.28515625" style="57" customWidth="1"/>
    <col min="6655" max="6657" width="12.5703125" style="57" customWidth="1"/>
    <col min="6658" max="6658" width="16.42578125" style="57" customWidth="1"/>
    <col min="6659" max="6667" width="12.5703125" style="57" customWidth="1"/>
    <col min="6668" max="6668" width="11" style="57" customWidth="1"/>
    <col min="6669" max="6671" width="9.28515625" style="57"/>
    <col min="6672" max="6672" width="14.42578125" style="57" customWidth="1"/>
    <col min="6673" max="6906" width="9.28515625" style="57"/>
    <col min="6907" max="6907" width="80.28515625" style="57" customWidth="1"/>
    <col min="6908" max="6909" width="12.5703125" style="57" customWidth="1"/>
    <col min="6910" max="6910" width="15.28515625" style="57" customWidth="1"/>
    <col min="6911" max="6913" width="12.5703125" style="57" customWidth="1"/>
    <col min="6914" max="6914" width="16.42578125" style="57" customWidth="1"/>
    <col min="6915" max="6923" width="12.5703125" style="57" customWidth="1"/>
    <col min="6924" max="6924" width="11" style="57" customWidth="1"/>
    <col min="6925" max="6927" width="9.28515625" style="57"/>
    <col min="6928" max="6928" width="14.42578125" style="57" customWidth="1"/>
    <col min="6929" max="7162" width="9.28515625" style="57"/>
    <col min="7163" max="7163" width="80.28515625" style="57" customWidth="1"/>
    <col min="7164" max="7165" width="12.5703125" style="57" customWidth="1"/>
    <col min="7166" max="7166" width="15.28515625" style="57" customWidth="1"/>
    <col min="7167" max="7169" width="12.5703125" style="57" customWidth="1"/>
    <col min="7170" max="7170" width="16.42578125" style="57" customWidth="1"/>
    <col min="7171" max="7179" width="12.5703125" style="57" customWidth="1"/>
    <col min="7180" max="7180" width="11" style="57" customWidth="1"/>
    <col min="7181" max="7183" width="9.28515625" style="57"/>
    <col min="7184" max="7184" width="14.42578125" style="57" customWidth="1"/>
    <col min="7185" max="7418" width="9.28515625" style="57"/>
    <col min="7419" max="7419" width="80.28515625" style="57" customWidth="1"/>
    <col min="7420" max="7421" width="12.5703125" style="57" customWidth="1"/>
    <col min="7422" max="7422" width="15.28515625" style="57" customWidth="1"/>
    <col min="7423" max="7425" width="12.5703125" style="57" customWidth="1"/>
    <col min="7426" max="7426" width="16.42578125" style="57" customWidth="1"/>
    <col min="7427" max="7435" width="12.5703125" style="57" customWidth="1"/>
    <col min="7436" max="7436" width="11" style="57" customWidth="1"/>
    <col min="7437" max="7439" width="9.28515625" style="57"/>
    <col min="7440" max="7440" width="14.42578125" style="57" customWidth="1"/>
    <col min="7441" max="7674" width="9.28515625" style="57"/>
    <col min="7675" max="7675" width="80.28515625" style="57" customWidth="1"/>
    <col min="7676" max="7677" width="12.5703125" style="57" customWidth="1"/>
    <col min="7678" max="7678" width="15.28515625" style="57" customWidth="1"/>
    <col min="7679" max="7681" width="12.5703125" style="57" customWidth="1"/>
    <col min="7682" max="7682" width="16.42578125" style="57" customWidth="1"/>
    <col min="7683" max="7691" width="12.5703125" style="57" customWidth="1"/>
    <col min="7692" max="7692" width="11" style="57" customWidth="1"/>
    <col min="7693" max="7695" width="9.28515625" style="57"/>
    <col min="7696" max="7696" width="14.42578125" style="57" customWidth="1"/>
    <col min="7697" max="7930" width="9.28515625" style="57"/>
    <col min="7931" max="7931" width="80.28515625" style="57" customWidth="1"/>
    <col min="7932" max="7933" width="12.5703125" style="57" customWidth="1"/>
    <col min="7934" max="7934" width="15.28515625" style="57" customWidth="1"/>
    <col min="7935" max="7937" width="12.5703125" style="57" customWidth="1"/>
    <col min="7938" max="7938" width="16.42578125" style="57" customWidth="1"/>
    <col min="7939" max="7947" width="12.5703125" style="57" customWidth="1"/>
    <col min="7948" max="7948" width="11" style="57" customWidth="1"/>
    <col min="7949" max="7951" width="9.28515625" style="57"/>
    <col min="7952" max="7952" width="14.42578125" style="57" customWidth="1"/>
    <col min="7953" max="8186" width="9.28515625" style="57"/>
    <col min="8187" max="8187" width="80.28515625" style="57" customWidth="1"/>
    <col min="8188" max="8189" width="12.5703125" style="57" customWidth="1"/>
    <col min="8190" max="8190" width="15.28515625" style="57" customWidth="1"/>
    <col min="8191" max="8193" width="12.5703125" style="57" customWidth="1"/>
    <col min="8194" max="8194" width="16.42578125" style="57" customWidth="1"/>
    <col min="8195" max="8203" width="12.5703125" style="57" customWidth="1"/>
    <col min="8204" max="8204" width="11" style="57" customWidth="1"/>
    <col min="8205" max="8207" width="9.28515625" style="57"/>
    <col min="8208" max="8208" width="14.42578125" style="57" customWidth="1"/>
    <col min="8209" max="8442" width="9.28515625" style="57"/>
    <col min="8443" max="8443" width="80.28515625" style="57" customWidth="1"/>
    <col min="8444" max="8445" width="12.5703125" style="57" customWidth="1"/>
    <col min="8446" max="8446" width="15.28515625" style="57" customWidth="1"/>
    <col min="8447" max="8449" width="12.5703125" style="57" customWidth="1"/>
    <col min="8450" max="8450" width="16.42578125" style="57" customWidth="1"/>
    <col min="8451" max="8459" width="12.5703125" style="57" customWidth="1"/>
    <col min="8460" max="8460" width="11" style="57" customWidth="1"/>
    <col min="8461" max="8463" width="9.28515625" style="57"/>
    <col min="8464" max="8464" width="14.42578125" style="57" customWidth="1"/>
    <col min="8465" max="8698" width="9.28515625" style="57"/>
    <col min="8699" max="8699" width="80.28515625" style="57" customWidth="1"/>
    <col min="8700" max="8701" width="12.5703125" style="57" customWidth="1"/>
    <col min="8702" max="8702" width="15.28515625" style="57" customWidth="1"/>
    <col min="8703" max="8705" width="12.5703125" style="57" customWidth="1"/>
    <col min="8706" max="8706" width="16.42578125" style="57" customWidth="1"/>
    <col min="8707" max="8715" width="12.5703125" style="57" customWidth="1"/>
    <col min="8716" max="8716" width="11" style="57" customWidth="1"/>
    <col min="8717" max="8719" width="9.28515625" style="57"/>
    <col min="8720" max="8720" width="14.42578125" style="57" customWidth="1"/>
    <col min="8721" max="8954" width="9.28515625" style="57"/>
    <col min="8955" max="8955" width="80.28515625" style="57" customWidth="1"/>
    <col min="8956" max="8957" width="12.5703125" style="57" customWidth="1"/>
    <col min="8958" max="8958" width="15.28515625" style="57" customWidth="1"/>
    <col min="8959" max="8961" width="12.5703125" style="57" customWidth="1"/>
    <col min="8962" max="8962" width="16.42578125" style="57" customWidth="1"/>
    <col min="8963" max="8971" width="12.5703125" style="57" customWidth="1"/>
    <col min="8972" max="8972" width="11" style="57" customWidth="1"/>
    <col min="8973" max="8975" width="9.28515625" style="57"/>
    <col min="8976" max="8976" width="14.42578125" style="57" customWidth="1"/>
    <col min="8977" max="9210" width="9.28515625" style="57"/>
    <col min="9211" max="9211" width="80.28515625" style="57" customWidth="1"/>
    <col min="9212" max="9213" width="12.5703125" style="57" customWidth="1"/>
    <col min="9214" max="9214" width="15.28515625" style="57" customWidth="1"/>
    <col min="9215" max="9217" width="12.5703125" style="57" customWidth="1"/>
    <col min="9218" max="9218" width="16.42578125" style="57" customWidth="1"/>
    <col min="9219" max="9227" width="12.5703125" style="57" customWidth="1"/>
    <col min="9228" max="9228" width="11" style="57" customWidth="1"/>
    <col min="9229" max="9231" width="9.28515625" style="57"/>
    <col min="9232" max="9232" width="14.42578125" style="57" customWidth="1"/>
    <col min="9233" max="9466" width="9.28515625" style="57"/>
    <col min="9467" max="9467" width="80.28515625" style="57" customWidth="1"/>
    <col min="9468" max="9469" width="12.5703125" style="57" customWidth="1"/>
    <col min="9470" max="9470" width="15.28515625" style="57" customWidth="1"/>
    <col min="9471" max="9473" width="12.5703125" style="57" customWidth="1"/>
    <col min="9474" max="9474" width="16.42578125" style="57" customWidth="1"/>
    <col min="9475" max="9483" width="12.5703125" style="57" customWidth="1"/>
    <col min="9484" max="9484" width="11" style="57" customWidth="1"/>
    <col min="9485" max="9487" width="9.28515625" style="57"/>
    <col min="9488" max="9488" width="14.42578125" style="57" customWidth="1"/>
    <col min="9489" max="9722" width="9.28515625" style="57"/>
    <col min="9723" max="9723" width="80.28515625" style="57" customWidth="1"/>
    <col min="9724" max="9725" width="12.5703125" style="57" customWidth="1"/>
    <col min="9726" max="9726" width="15.28515625" style="57" customWidth="1"/>
    <col min="9727" max="9729" width="12.5703125" style="57" customWidth="1"/>
    <col min="9730" max="9730" width="16.42578125" style="57" customWidth="1"/>
    <col min="9731" max="9739" width="12.5703125" style="57" customWidth="1"/>
    <col min="9740" max="9740" width="11" style="57" customWidth="1"/>
    <col min="9741" max="9743" width="9.28515625" style="57"/>
    <col min="9744" max="9744" width="14.42578125" style="57" customWidth="1"/>
    <col min="9745" max="9978" width="9.28515625" style="57"/>
    <col min="9979" max="9979" width="80.28515625" style="57" customWidth="1"/>
    <col min="9980" max="9981" width="12.5703125" style="57" customWidth="1"/>
    <col min="9982" max="9982" width="15.28515625" style="57" customWidth="1"/>
    <col min="9983" max="9985" width="12.5703125" style="57" customWidth="1"/>
    <col min="9986" max="9986" width="16.42578125" style="57" customWidth="1"/>
    <col min="9987" max="9995" width="12.5703125" style="57" customWidth="1"/>
    <col min="9996" max="9996" width="11" style="57" customWidth="1"/>
    <col min="9997" max="9999" width="9.28515625" style="57"/>
    <col min="10000" max="10000" width="14.42578125" style="57" customWidth="1"/>
    <col min="10001" max="10234" width="9.28515625" style="57"/>
    <col min="10235" max="10235" width="80.28515625" style="57" customWidth="1"/>
    <col min="10236" max="10237" width="12.5703125" style="57" customWidth="1"/>
    <col min="10238" max="10238" width="15.28515625" style="57" customWidth="1"/>
    <col min="10239" max="10241" width="12.5703125" style="57" customWidth="1"/>
    <col min="10242" max="10242" width="16.42578125" style="57" customWidth="1"/>
    <col min="10243" max="10251" width="12.5703125" style="57" customWidth="1"/>
    <col min="10252" max="10252" width="11" style="57" customWidth="1"/>
    <col min="10253" max="10255" width="9.28515625" style="57"/>
    <col min="10256" max="10256" width="14.42578125" style="57" customWidth="1"/>
    <col min="10257" max="10490" width="9.28515625" style="57"/>
    <col min="10491" max="10491" width="80.28515625" style="57" customWidth="1"/>
    <col min="10492" max="10493" width="12.5703125" style="57" customWidth="1"/>
    <col min="10494" max="10494" width="15.28515625" style="57" customWidth="1"/>
    <col min="10495" max="10497" width="12.5703125" style="57" customWidth="1"/>
    <col min="10498" max="10498" width="16.42578125" style="57" customWidth="1"/>
    <col min="10499" max="10507" width="12.5703125" style="57" customWidth="1"/>
    <col min="10508" max="10508" width="11" style="57" customWidth="1"/>
    <col min="10509" max="10511" width="9.28515625" style="57"/>
    <col min="10512" max="10512" width="14.42578125" style="57" customWidth="1"/>
    <col min="10513" max="10746" width="9.28515625" style="57"/>
    <col min="10747" max="10747" width="80.28515625" style="57" customWidth="1"/>
    <col min="10748" max="10749" width="12.5703125" style="57" customWidth="1"/>
    <col min="10750" max="10750" width="15.28515625" style="57" customWidth="1"/>
    <col min="10751" max="10753" width="12.5703125" style="57" customWidth="1"/>
    <col min="10754" max="10754" width="16.42578125" style="57" customWidth="1"/>
    <col min="10755" max="10763" width="12.5703125" style="57" customWidth="1"/>
    <col min="10764" max="10764" width="11" style="57" customWidth="1"/>
    <col min="10765" max="10767" width="9.28515625" style="57"/>
    <col min="10768" max="10768" width="14.42578125" style="57" customWidth="1"/>
    <col min="10769" max="11002" width="9.28515625" style="57"/>
    <col min="11003" max="11003" width="80.28515625" style="57" customWidth="1"/>
    <col min="11004" max="11005" width="12.5703125" style="57" customWidth="1"/>
    <col min="11006" max="11006" width="15.28515625" style="57" customWidth="1"/>
    <col min="11007" max="11009" width="12.5703125" style="57" customWidth="1"/>
    <col min="11010" max="11010" width="16.42578125" style="57" customWidth="1"/>
    <col min="11011" max="11019" width="12.5703125" style="57" customWidth="1"/>
    <col min="11020" max="11020" width="11" style="57" customWidth="1"/>
    <col min="11021" max="11023" width="9.28515625" style="57"/>
    <col min="11024" max="11024" width="14.42578125" style="57" customWidth="1"/>
    <col min="11025" max="11258" width="9.28515625" style="57"/>
    <col min="11259" max="11259" width="80.28515625" style="57" customWidth="1"/>
    <col min="11260" max="11261" width="12.5703125" style="57" customWidth="1"/>
    <col min="11262" max="11262" width="15.28515625" style="57" customWidth="1"/>
    <col min="11263" max="11265" width="12.5703125" style="57" customWidth="1"/>
    <col min="11266" max="11266" width="16.42578125" style="57" customWidth="1"/>
    <col min="11267" max="11275" width="12.5703125" style="57" customWidth="1"/>
    <col min="11276" max="11276" width="11" style="57" customWidth="1"/>
    <col min="11277" max="11279" width="9.28515625" style="57"/>
    <col min="11280" max="11280" width="14.42578125" style="57" customWidth="1"/>
    <col min="11281" max="11514" width="9.28515625" style="57"/>
    <col min="11515" max="11515" width="80.28515625" style="57" customWidth="1"/>
    <col min="11516" max="11517" width="12.5703125" style="57" customWidth="1"/>
    <col min="11518" max="11518" width="15.28515625" style="57" customWidth="1"/>
    <col min="11519" max="11521" width="12.5703125" style="57" customWidth="1"/>
    <col min="11522" max="11522" width="16.42578125" style="57" customWidth="1"/>
    <col min="11523" max="11531" width="12.5703125" style="57" customWidth="1"/>
    <col min="11532" max="11532" width="11" style="57" customWidth="1"/>
    <col min="11533" max="11535" width="9.28515625" style="57"/>
    <col min="11536" max="11536" width="14.42578125" style="57" customWidth="1"/>
    <col min="11537" max="11770" width="9.28515625" style="57"/>
    <col min="11771" max="11771" width="80.28515625" style="57" customWidth="1"/>
    <col min="11772" max="11773" width="12.5703125" style="57" customWidth="1"/>
    <col min="11774" max="11774" width="15.28515625" style="57" customWidth="1"/>
    <col min="11775" max="11777" width="12.5703125" style="57" customWidth="1"/>
    <col min="11778" max="11778" width="16.42578125" style="57" customWidth="1"/>
    <col min="11779" max="11787" width="12.5703125" style="57" customWidth="1"/>
    <col min="11788" max="11788" width="11" style="57" customWidth="1"/>
    <col min="11789" max="11791" width="9.28515625" style="57"/>
    <col min="11792" max="11792" width="14.42578125" style="57" customWidth="1"/>
    <col min="11793" max="12026" width="9.28515625" style="57"/>
    <col min="12027" max="12027" width="80.28515625" style="57" customWidth="1"/>
    <col min="12028" max="12029" width="12.5703125" style="57" customWidth="1"/>
    <col min="12030" max="12030" width="15.28515625" style="57" customWidth="1"/>
    <col min="12031" max="12033" width="12.5703125" style="57" customWidth="1"/>
    <col min="12034" max="12034" width="16.42578125" style="57" customWidth="1"/>
    <col min="12035" max="12043" width="12.5703125" style="57" customWidth="1"/>
    <col min="12044" max="12044" width="11" style="57" customWidth="1"/>
    <col min="12045" max="12047" width="9.28515625" style="57"/>
    <col min="12048" max="12048" width="14.42578125" style="57" customWidth="1"/>
    <col min="12049" max="12282" width="9.28515625" style="57"/>
    <col min="12283" max="12283" width="80.28515625" style="57" customWidth="1"/>
    <col min="12284" max="12285" width="12.5703125" style="57" customWidth="1"/>
    <col min="12286" max="12286" width="15.28515625" style="57" customWidth="1"/>
    <col min="12287" max="12289" width="12.5703125" style="57" customWidth="1"/>
    <col min="12290" max="12290" width="16.42578125" style="57" customWidth="1"/>
    <col min="12291" max="12299" width="12.5703125" style="57" customWidth="1"/>
    <col min="12300" max="12300" width="11" style="57" customWidth="1"/>
    <col min="12301" max="12303" width="9.28515625" style="57"/>
    <col min="12304" max="12304" width="14.42578125" style="57" customWidth="1"/>
    <col min="12305" max="12538" width="9.28515625" style="57"/>
    <col min="12539" max="12539" width="80.28515625" style="57" customWidth="1"/>
    <col min="12540" max="12541" width="12.5703125" style="57" customWidth="1"/>
    <col min="12542" max="12542" width="15.28515625" style="57" customWidth="1"/>
    <col min="12543" max="12545" width="12.5703125" style="57" customWidth="1"/>
    <col min="12546" max="12546" width="16.42578125" style="57" customWidth="1"/>
    <col min="12547" max="12555" width="12.5703125" style="57" customWidth="1"/>
    <col min="12556" max="12556" width="11" style="57" customWidth="1"/>
    <col min="12557" max="12559" width="9.28515625" style="57"/>
    <col min="12560" max="12560" width="14.42578125" style="57" customWidth="1"/>
    <col min="12561" max="12794" width="9.28515625" style="57"/>
    <col min="12795" max="12795" width="80.28515625" style="57" customWidth="1"/>
    <col min="12796" max="12797" width="12.5703125" style="57" customWidth="1"/>
    <col min="12798" max="12798" width="15.28515625" style="57" customWidth="1"/>
    <col min="12799" max="12801" width="12.5703125" style="57" customWidth="1"/>
    <col min="12802" max="12802" width="16.42578125" style="57" customWidth="1"/>
    <col min="12803" max="12811" width="12.5703125" style="57" customWidth="1"/>
    <col min="12812" max="12812" width="11" style="57" customWidth="1"/>
    <col min="12813" max="12815" width="9.28515625" style="57"/>
    <col min="12816" max="12816" width="14.42578125" style="57" customWidth="1"/>
    <col min="12817" max="13050" width="9.28515625" style="57"/>
    <col min="13051" max="13051" width="80.28515625" style="57" customWidth="1"/>
    <col min="13052" max="13053" width="12.5703125" style="57" customWidth="1"/>
    <col min="13054" max="13054" width="15.28515625" style="57" customWidth="1"/>
    <col min="13055" max="13057" width="12.5703125" style="57" customWidth="1"/>
    <col min="13058" max="13058" width="16.42578125" style="57" customWidth="1"/>
    <col min="13059" max="13067" width="12.5703125" style="57" customWidth="1"/>
    <col min="13068" max="13068" width="11" style="57" customWidth="1"/>
    <col min="13069" max="13071" width="9.28515625" style="57"/>
    <col min="13072" max="13072" width="14.42578125" style="57" customWidth="1"/>
    <col min="13073" max="13306" width="9.28515625" style="57"/>
    <col min="13307" max="13307" width="80.28515625" style="57" customWidth="1"/>
    <col min="13308" max="13309" width="12.5703125" style="57" customWidth="1"/>
    <col min="13310" max="13310" width="15.28515625" style="57" customWidth="1"/>
    <col min="13311" max="13313" width="12.5703125" style="57" customWidth="1"/>
    <col min="13314" max="13314" width="16.42578125" style="57" customWidth="1"/>
    <col min="13315" max="13323" width="12.5703125" style="57" customWidth="1"/>
    <col min="13324" max="13324" width="11" style="57" customWidth="1"/>
    <col min="13325" max="13327" width="9.28515625" style="57"/>
    <col min="13328" max="13328" width="14.42578125" style="57" customWidth="1"/>
    <col min="13329" max="13562" width="9.28515625" style="57"/>
    <col min="13563" max="13563" width="80.28515625" style="57" customWidth="1"/>
    <col min="13564" max="13565" width="12.5703125" style="57" customWidth="1"/>
    <col min="13566" max="13566" width="15.28515625" style="57" customWidth="1"/>
    <col min="13567" max="13569" width="12.5703125" style="57" customWidth="1"/>
    <col min="13570" max="13570" width="16.42578125" style="57" customWidth="1"/>
    <col min="13571" max="13579" width="12.5703125" style="57" customWidth="1"/>
    <col min="13580" max="13580" width="11" style="57" customWidth="1"/>
    <col min="13581" max="13583" width="9.28515625" style="57"/>
    <col min="13584" max="13584" width="14.42578125" style="57" customWidth="1"/>
    <col min="13585" max="13818" width="9.28515625" style="57"/>
    <col min="13819" max="13819" width="80.28515625" style="57" customWidth="1"/>
    <col min="13820" max="13821" width="12.5703125" style="57" customWidth="1"/>
    <col min="13822" max="13822" width="15.28515625" style="57" customWidth="1"/>
    <col min="13823" max="13825" width="12.5703125" style="57" customWidth="1"/>
    <col min="13826" max="13826" width="16.42578125" style="57" customWidth="1"/>
    <col min="13827" max="13835" width="12.5703125" style="57" customWidth="1"/>
    <col min="13836" max="13836" width="11" style="57" customWidth="1"/>
    <col min="13837" max="13839" width="9.28515625" style="57"/>
    <col min="13840" max="13840" width="14.42578125" style="57" customWidth="1"/>
    <col min="13841" max="14074" width="9.28515625" style="57"/>
    <col min="14075" max="14075" width="80.28515625" style="57" customWidth="1"/>
    <col min="14076" max="14077" width="12.5703125" style="57" customWidth="1"/>
    <col min="14078" max="14078" width="15.28515625" style="57" customWidth="1"/>
    <col min="14079" max="14081" width="12.5703125" style="57" customWidth="1"/>
    <col min="14082" max="14082" width="16.42578125" style="57" customWidth="1"/>
    <col min="14083" max="14091" width="12.5703125" style="57" customWidth="1"/>
    <col min="14092" max="14092" width="11" style="57" customWidth="1"/>
    <col min="14093" max="14095" width="9.28515625" style="57"/>
    <col min="14096" max="14096" width="14.42578125" style="57" customWidth="1"/>
    <col min="14097" max="14330" width="9.28515625" style="57"/>
    <col min="14331" max="14331" width="80.28515625" style="57" customWidth="1"/>
    <col min="14332" max="14333" width="12.5703125" style="57" customWidth="1"/>
    <col min="14334" max="14334" width="15.28515625" style="57" customWidth="1"/>
    <col min="14335" max="14337" width="12.5703125" style="57" customWidth="1"/>
    <col min="14338" max="14338" width="16.42578125" style="57" customWidth="1"/>
    <col min="14339" max="14347" width="12.5703125" style="57" customWidth="1"/>
    <col min="14348" max="14348" width="11" style="57" customWidth="1"/>
    <col min="14349" max="14351" width="9.28515625" style="57"/>
    <col min="14352" max="14352" width="14.42578125" style="57" customWidth="1"/>
    <col min="14353" max="14586" width="9.28515625" style="57"/>
    <col min="14587" max="14587" width="80.28515625" style="57" customWidth="1"/>
    <col min="14588" max="14589" width="12.5703125" style="57" customWidth="1"/>
    <col min="14590" max="14590" width="15.28515625" style="57" customWidth="1"/>
    <col min="14591" max="14593" width="12.5703125" style="57" customWidth="1"/>
    <col min="14594" max="14594" width="16.42578125" style="57" customWidth="1"/>
    <col min="14595" max="14603" width="12.5703125" style="57" customWidth="1"/>
    <col min="14604" max="14604" width="11" style="57" customWidth="1"/>
    <col min="14605" max="14607" width="9.28515625" style="57"/>
    <col min="14608" max="14608" width="14.42578125" style="57" customWidth="1"/>
    <col min="14609" max="14842" width="9.28515625" style="57"/>
    <col min="14843" max="14843" width="80.28515625" style="57" customWidth="1"/>
    <col min="14844" max="14845" width="12.5703125" style="57" customWidth="1"/>
    <col min="14846" max="14846" width="15.28515625" style="57" customWidth="1"/>
    <col min="14847" max="14849" width="12.5703125" style="57" customWidth="1"/>
    <col min="14850" max="14850" width="16.42578125" style="57" customWidth="1"/>
    <col min="14851" max="14859" width="12.5703125" style="57" customWidth="1"/>
    <col min="14860" max="14860" width="11" style="57" customWidth="1"/>
    <col min="14861" max="14863" width="9.28515625" style="57"/>
    <col min="14864" max="14864" width="14.42578125" style="57" customWidth="1"/>
    <col min="14865" max="15098" width="9.28515625" style="57"/>
    <col min="15099" max="15099" width="80.28515625" style="57" customWidth="1"/>
    <col min="15100" max="15101" width="12.5703125" style="57" customWidth="1"/>
    <col min="15102" max="15102" width="15.28515625" style="57" customWidth="1"/>
    <col min="15103" max="15105" width="12.5703125" style="57" customWidth="1"/>
    <col min="15106" max="15106" width="16.42578125" style="57" customWidth="1"/>
    <col min="15107" max="15115" width="12.5703125" style="57" customWidth="1"/>
    <col min="15116" max="15116" width="11" style="57" customWidth="1"/>
    <col min="15117" max="15119" width="9.28515625" style="57"/>
    <col min="15120" max="15120" width="14.42578125" style="57" customWidth="1"/>
    <col min="15121" max="15354" width="9.28515625" style="57"/>
    <col min="15355" max="15355" width="80.28515625" style="57" customWidth="1"/>
    <col min="15356" max="15357" width="12.5703125" style="57" customWidth="1"/>
    <col min="15358" max="15358" width="15.28515625" style="57" customWidth="1"/>
    <col min="15359" max="15361" width="12.5703125" style="57" customWidth="1"/>
    <col min="15362" max="15362" width="16.42578125" style="57" customWidth="1"/>
    <col min="15363" max="15371" width="12.5703125" style="57" customWidth="1"/>
    <col min="15372" max="15372" width="11" style="57" customWidth="1"/>
    <col min="15373" max="15375" width="9.28515625" style="57"/>
    <col min="15376" max="15376" width="14.42578125" style="57" customWidth="1"/>
    <col min="15377" max="15610" width="9.28515625" style="57"/>
    <col min="15611" max="15611" width="80.28515625" style="57" customWidth="1"/>
    <col min="15612" max="15613" width="12.5703125" style="57" customWidth="1"/>
    <col min="15614" max="15614" width="15.28515625" style="57" customWidth="1"/>
    <col min="15615" max="15617" width="12.5703125" style="57" customWidth="1"/>
    <col min="15618" max="15618" width="16.42578125" style="57" customWidth="1"/>
    <col min="15619" max="15627" width="12.5703125" style="57" customWidth="1"/>
    <col min="15628" max="15628" width="11" style="57" customWidth="1"/>
    <col min="15629" max="15631" width="9.28515625" style="57"/>
    <col min="15632" max="15632" width="14.42578125" style="57" customWidth="1"/>
    <col min="15633" max="15866" width="9.28515625" style="57"/>
    <col min="15867" max="15867" width="80.28515625" style="57" customWidth="1"/>
    <col min="15868" max="15869" width="12.5703125" style="57" customWidth="1"/>
    <col min="15870" max="15870" width="15.28515625" style="57" customWidth="1"/>
    <col min="15871" max="15873" width="12.5703125" style="57" customWidth="1"/>
    <col min="15874" max="15874" width="16.42578125" style="57" customWidth="1"/>
    <col min="15875" max="15883" width="12.5703125" style="57" customWidth="1"/>
    <col min="15884" max="15884" width="11" style="57" customWidth="1"/>
    <col min="15885" max="15887" width="9.28515625" style="57"/>
    <col min="15888" max="15888" width="14.42578125" style="57" customWidth="1"/>
    <col min="15889" max="16122" width="9.28515625" style="57"/>
    <col min="16123" max="16123" width="80.28515625" style="57" customWidth="1"/>
    <col min="16124" max="16125" width="12.5703125" style="57" customWidth="1"/>
    <col min="16126" max="16126" width="15.28515625" style="57" customWidth="1"/>
    <col min="16127" max="16129" width="12.5703125" style="57" customWidth="1"/>
    <col min="16130" max="16130" width="16.42578125" style="57" customWidth="1"/>
    <col min="16131" max="16139" width="12.5703125" style="57" customWidth="1"/>
    <col min="16140" max="16140" width="11" style="57" customWidth="1"/>
    <col min="16141" max="16143" width="9.28515625" style="57"/>
    <col min="16144" max="16144" width="14.42578125" style="57" customWidth="1"/>
    <col min="16145" max="16377" width="9.28515625" style="57"/>
    <col min="16378" max="16381" width="9.28515625" style="57" customWidth="1"/>
    <col min="16382" max="16384" width="9.28515625" style="57"/>
  </cols>
  <sheetData>
    <row r="2" spans="1:32" ht="24">
      <c r="A2" s="353" t="str">
        <f>ปร.6!A4&amp;ปร.6!C4</f>
        <v>ชื่อโครงการโครงการปรับปรุงอาคาร 11 มหาวิทยาลัยเทคโนโลยีราชมงคลอีสาน วิทยาเขตขอนแก่น</v>
      </c>
    </row>
    <row r="3" spans="1:32" ht="24">
      <c r="A3" s="353" t="str">
        <f>ปร.6!A5&amp;ปร.6!C5</f>
        <v>สถานที่ก่อสร้างมหาวิทยาลัยเทคโนโลยีราชมงคลอีสาน วิทยาเขตขอนแก่น ต.ในเมือง อ.เมืองขอนแก่น จ.ขอนแก่น</v>
      </c>
    </row>
    <row r="4" spans="1:32" ht="24">
      <c r="A4" s="353" t="str">
        <f>ปร.6!A6&amp;ปร.6!C6</f>
        <v>แบบเลขที่-</v>
      </c>
    </row>
    <row r="5" spans="1:32" ht="24">
      <c r="A5" s="353" t="str">
        <f>ปร.6!A7&amp;ปร.6!C7</f>
        <v>เจ้าของโครงการมหาวิทยาลัยเทคโนโลยีราชมงคลอีสาน วิทยาเขตขอนแก่น</v>
      </c>
    </row>
    <row r="6" spans="1:32" ht="24">
      <c r="A6" s="353"/>
    </row>
    <row r="7" spans="1:32">
      <c r="A7" s="1467" t="s">
        <v>245</v>
      </c>
      <c r="B7" s="1467"/>
      <c r="C7" s="1472" t="s">
        <v>246</v>
      </c>
      <c r="D7" s="1472"/>
      <c r="E7" s="1467" t="s">
        <v>28</v>
      </c>
      <c r="F7" s="1472" t="s">
        <v>247</v>
      </c>
      <c r="G7" s="1472"/>
      <c r="H7" s="1467" t="s">
        <v>28</v>
      </c>
      <c r="I7" s="1467" t="s">
        <v>275</v>
      </c>
      <c r="J7" s="333"/>
      <c r="K7" s="334"/>
      <c r="L7" s="334"/>
    </row>
    <row r="8" spans="1:32">
      <c r="A8" s="1467" t="s">
        <v>1</v>
      </c>
      <c r="B8" s="1467"/>
      <c r="C8" s="335" t="s">
        <v>257</v>
      </c>
      <c r="D8" s="335" t="s">
        <v>258</v>
      </c>
      <c r="E8" s="1467"/>
      <c r="F8" s="335" t="s">
        <v>257</v>
      </c>
      <c r="G8" s="335" t="s">
        <v>258</v>
      </c>
      <c r="H8" s="1467"/>
      <c r="I8" s="1467"/>
      <c r="J8" s="333"/>
      <c r="K8" s="334"/>
      <c r="L8" s="334"/>
    </row>
    <row r="9" spans="1:32" s="321" customFormat="1">
      <c r="A9" s="329">
        <v>1</v>
      </c>
      <c r="B9" s="330" t="s">
        <v>540</v>
      </c>
      <c r="C9" s="331">
        <v>3</v>
      </c>
      <c r="D9" s="331">
        <v>6</v>
      </c>
      <c r="E9" s="332">
        <f t="shared" ref="E9:E31" si="0">SUM(C9:D9)</f>
        <v>9</v>
      </c>
      <c r="F9" s="331">
        <v>3</v>
      </c>
      <c r="G9" s="331">
        <v>6</v>
      </c>
      <c r="H9" s="332">
        <f>SUM(F9:G9)</f>
        <v>9</v>
      </c>
      <c r="I9" s="332">
        <f>ROUNDUP(SUM(E9,H9),0)</f>
        <v>18</v>
      </c>
      <c r="J9" s="214" t="s">
        <v>37</v>
      </c>
      <c r="K9" s="211">
        <v>4850</v>
      </c>
      <c r="L9" s="211">
        <v>450</v>
      </c>
      <c r="M9" s="318"/>
      <c r="N9" s="319"/>
      <c r="O9" s="319"/>
      <c r="P9" s="320"/>
      <c r="Q9" s="319"/>
      <c r="R9" s="319"/>
      <c r="S9" s="319"/>
      <c r="T9" s="319"/>
      <c r="U9" s="319"/>
      <c r="V9" s="319"/>
      <c r="W9" s="319"/>
      <c r="X9" s="319"/>
    </row>
    <row r="10" spans="1:32" s="321" customFormat="1">
      <c r="A10" s="323">
        <v>1</v>
      </c>
      <c r="B10" s="310" t="s">
        <v>538</v>
      </c>
      <c r="C10" s="325">
        <f>C9</f>
        <v>3</v>
      </c>
      <c r="D10" s="325">
        <f>D9</f>
        <v>6</v>
      </c>
      <c r="E10" s="326">
        <f t="shared" si="0"/>
        <v>9</v>
      </c>
      <c r="F10" s="325">
        <f>F9</f>
        <v>3</v>
      </c>
      <c r="G10" s="325">
        <f>G9</f>
        <v>6</v>
      </c>
      <c r="H10" s="332">
        <f t="shared" ref="H10:H31" si="1">SUM(F10:G10)</f>
        <v>9</v>
      </c>
      <c r="I10" s="332">
        <f t="shared" ref="I10:I31" si="2">ROUNDUP(SUM(E10,H10),0)</f>
        <v>18</v>
      </c>
      <c r="J10" s="316" t="s">
        <v>91</v>
      </c>
      <c r="K10" s="317">
        <v>80</v>
      </c>
      <c r="L10" s="317">
        <v>35</v>
      </c>
      <c r="M10" s="318"/>
      <c r="N10" s="319"/>
      <c r="O10" s="319"/>
      <c r="P10" s="320"/>
      <c r="Q10" s="319"/>
      <c r="R10" s="319"/>
      <c r="S10" s="319"/>
      <c r="T10" s="319"/>
      <c r="U10" s="319"/>
      <c r="V10" s="319"/>
      <c r="W10" s="319"/>
      <c r="X10" s="319"/>
    </row>
    <row r="11" spans="1:32" s="319" customFormat="1">
      <c r="A11" s="323">
        <v>2</v>
      </c>
      <c r="B11" s="310" t="s">
        <v>539</v>
      </c>
      <c r="C11" s="325">
        <f>C9</f>
        <v>3</v>
      </c>
      <c r="D11" s="325">
        <f>D9</f>
        <v>6</v>
      </c>
      <c r="E11" s="326">
        <f t="shared" si="0"/>
        <v>9</v>
      </c>
      <c r="F11" s="325">
        <f>F9</f>
        <v>3</v>
      </c>
      <c r="G11" s="325">
        <f>G9</f>
        <v>6</v>
      </c>
      <c r="H11" s="332">
        <f t="shared" si="1"/>
        <v>9</v>
      </c>
      <c r="I11" s="332">
        <f t="shared" si="2"/>
        <v>18</v>
      </c>
      <c r="J11" s="316" t="s">
        <v>37</v>
      </c>
      <c r="K11" s="317">
        <v>300</v>
      </c>
      <c r="L11" s="317">
        <v>70</v>
      </c>
      <c r="M11" s="318"/>
      <c r="P11" s="320"/>
      <c r="Y11" s="321"/>
      <c r="Z11" s="321"/>
      <c r="AA11" s="321"/>
      <c r="AB11" s="321"/>
      <c r="AC11" s="321"/>
      <c r="AD11" s="321"/>
      <c r="AE11" s="321"/>
      <c r="AF11" s="321"/>
    </row>
    <row r="12" spans="1:32" s="319" customFormat="1">
      <c r="A12" s="323">
        <v>2</v>
      </c>
      <c r="B12" s="310" t="s">
        <v>538</v>
      </c>
      <c r="C12" s="325">
        <f>C11</f>
        <v>3</v>
      </c>
      <c r="D12" s="325">
        <f>D11</f>
        <v>6</v>
      </c>
      <c r="E12" s="326">
        <f t="shared" si="0"/>
        <v>9</v>
      </c>
      <c r="F12" s="325">
        <f>F11</f>
        <v>3</v>
      </c>
      <c r="G12" s="325">
        <f>G11</f>
        <v>6</v>
      </c>
      <c r="H12" s="332">
        <f t="shared" si="1"/>
        <v>9</v>
      </c>
      <c r="I12" s="332">
        <f t="shared" si="2"/>
        <v>18</v>
      </c>
      <c r="J12" s="316" t="s">
        <v>91</v>
      </c>
      <c r="K12" s="317">
        <v>80</v>
      </c>
      <c r="L12" s="317">
        <v>35</v>
      </c>
      <c r="M12" s="318"/>
      <c r="P12" s="320"/>
      <c r="Y12" s="321"/>
      <c r="Z12" s="321"/>
      <c r="AA12" s="321"/>
      <c r="AB12" s="321"/>
      <c r="AC12" s="321"/>
      <c r="AD12" s="321"/>
      <c r="AE12" s="321"/>
      <c r="AF12" s="321"/>
    </row>
    <row r="13" spans="1:32" s="319" customFormat="1">
      <c r="A13" s="323">
        <v>3</v>
      </c>
      <c r="B13" s="324" t="s">
        <v>1181</v>
      </c>
      <c r="C13" s="325">
        <f>C9</f>
        <v>3</v>
      </c>
      <c r="D13" s="325">
        <f>D9</f>
        <v>6</v>
      </c>
      <c r="E13" s="326">
        <f t="shared" si="0"/>
        <v>9</v>
      </c>
      <c r="F13" s="325">
        <f>F9</f>
        <v>3</v>
      </c>
      <c r="G13" s="325">
        <f>G9</f>
        <v>6</v>
      </c>
      <c r="H13" s="332">
        <f t="shared" si="1"/>
        <v>9</v>
      </c>
      <c r="I13" s="332">
        <f t="shared" si="2"/>
        <v>18</v>
      </c>
      <c r="J13" s="316" t="s">
        <v>37</v>
      </c>
      <c r="K13" s="317">
        <v>390</v>
      </c>
      <c r="L13" s="317">
        <v>120</v>
      </c>
      <c r="M13" s="318"/>
      <c r="P13" s="320"/>
      <c r="Y13" s="321"/>
      <c r="Z13" s="321"/>
      <c r="AA13" s="321"/>
      <c r="AB13" s="321"/>
      <c r="AC13" s="321"/>
      <c r="AD13" s="321"/>
      <c r="AE13" s="321"/>
      <c r="AF13" s="321"/>
    </row>
    <row r="14" spans="1:32" s="319" customFormat="1">
      <c r="A14" s="323">
        <v>4</v>
      </c>
      <c r="B14" s="310" t="s">
        <v>533</v>
      </c>
      <c r="C14" s="325">
        <v>3</v>
      </c>
      <c r="D14" s="325">
        <v>3</v>
      </c>
      <c r="E14" s="326">
        <f t="shared" si="0"/>
        <v>6</v>
      </c>
      <c r="F14" s="325">
        <v>3</v>
      </c>
      <c r="G14" s="325">
        <v>3</v>
      </c>
      <c r="H14" s="332">
        <f t="shared" si="1"/>
        <v>6</v>
      </c>
      <c r="I14" s="332">
        <f t="shared" si="2"/>
        <v>12</v>
      </c>
      <c r="J14" s="1469" t="s">
        <v>37</v>
      </c>
      <c r="K14" s="1468">
        <v>3500</v>
      </c>
      <c r="L14" s="1468">
        <v>450</v>
      </c>
      <c r="M14" s="318"/>
      <c r="P14" s="320"/>
      <c r="Y14" s="321"/>
      <c r="Z14" s="321"/>
      <c r="AA14" s="321"/>
      <c r="AB14" s="321"/>
      <c r="AC14" s="321"/>
      <c r="AD14" s="321"/>
      <c r="AE14" s="321"/>
      <c r="AF14" s="321"/>
    </row>
    <row r="15" spans="1:32" s="319" customFormat="1">
      <c r="A15" s="323">
        <v>4</v>
      </c>
      <c r="B15" s="310" t="s">
        <v>534</v>
      </c>
      <c r="C15" s="325">
        <f>C14</f>
        <v>3</v>
      </c>
      <c r="D15" s="325">
        <f>D14</f>
        <v>3</v>
      </c>
      <c r="E15" s="326">
        <f t="shared" si="0"/>
        <v>6</v>
      </c>
      <c r="F15" s="325">
        <f>F14</f>
        <v>3</v>
      </c>
      <c r="G15" s="325">
        <f>G14</f>
        <v>3</v>
      </c>
      <c r="H15" s="332">
        <f t="shared" si="1"/>
        <v>6</v>
      </c>
      <c r="I15" s="332">
        <f t="shared" si="2"/>
        <v>12</v>
      </c>
      <c r="J15" s="1470"/>
      <c r="K15" s="1468"/>
      <c r="L15" s="1468"/>
      <c r="M15" s="318"/>
      <c r="P15" s="320"/>
      <c r="Y15" s="321"/>
      <c r="Z15" s="321"/>
      <c r="AA15" s="321"/>
      <c r="AB15" s="321"/>
      <c r="AC15" s="321"/>
      <c r="AD15" s="321"/>
      <c r="AE15" s="321"/>
      <c r="AF15" s="321"/>
    </row>
    <row r="16" spans="1:32" s="319" customFormat="1">
      <c r="A16" s="323">
        <v>4</v>
      </c>
      <c r="B16" s="310" t="s">
        <v>535</v>
      </c>
      <c r="C16" s="325">
        <f>C14</f>
        <v>3</v>
      </c>
      <c r="D16" s="325">
        <f>D14</f>
        <v>3</v>
      </c>
      <c r="E16" s="326">
        <f t="shared" si="0"/>
        <v>6</v>
      </c>
      <c r="F16" s="325">
        <f>F14</f>
        <v>3</v>
      </c>
      <c r="G16" s="325">
        <f>G14</f>
        <v>3</v>
      </c>
      <c r="H16" s="332">
        <f t="shared" si="1"/>
        <v>6</v>
      </c>
      <c r="I16" s="332">
        <f t="shared" si="2"/>
        <v>12</v>
      </c>
      <c r="J16" s="1470"/>
      <c r="K16" s="1468"/>
      <c r="L16" s="1468"/>
      <c r="M16" s="318"/>
      <c r="P16" s="320"/>
      <c r="Y16" s="321"/>
      <c r="Z16" s="321"/>
      <c r="AA16" s="321"/>
      <c r="AB16" s="321"/>
      <c r="AC16" s="321"/>
      <c r="AD16" s="321"/>
      <c r="AE16" s="321"/>
      <c r="AF16" s="321"/>
    </row>
    <row r="17" spans="1:32" s="319" customFormat="1">
      <c r="A17" s="323">
        <v>4</v>
      </c>
      <c r="B17" s="310" t="s">
        <v>536</v>
      </c>
      <c r="C17" s="325">
        <f>C14</f>
        <v>3</v>
      </c>
      <c r="D17" s="325">
        <f>D14</f>
        <v>3</v>
      </c>
      <c r="E17" s="326">
        <f t="shared" si="0"/>
        <v>6</v>
      </c>
      <c r="F17" s="325">
        <f>F14</f>
        <v>3</v>
      </c>
      <c r="G17" s="325">
        <f>G14</f>
        <v>3</v>
      </c>
      <c r="H17" s="332">
        <f t="shared" si="1"/>
        <v>6</v>
      </c>
      <c r="I17" s="332">
        <f t="shared" si="2"/>
        <v>12</v>
      </c>
      <c r="J17" s="1470"/>
      <c r="K17" s="1468"/>
      <c r="L17" s="1468"/>
      <c r="M17" s="318"/>
      <c r="P17" s="320"/>
      <c r="Y17" s="321"/>
      <c r="Z17" s="321"/>
      <c r="AA17" s="321"/>
      <c r="AB17" s="321"/>
      <c r="AC17" s="321"/>
      <c r="AD17" s="321"/>
      <c r="AE17" s="321"/>
      <c r="AF17" s="321"/>
    </row>
    <row r="18" spans="1:32" s="319" customFormat="1">
      <c r="A18" s="323">
        <v>4</v>
      </c>
      <c r="B18" s="310" t="s">
        <v>537</v>
      </c>
      <c r="C18" s="325">
        <f>C14</f>
        <v>3</v>
      </c>
      <c r="D18" s="325">
        <f>D14</f>
        <v>3</v>
      </c>
      <c r="E18" s="326">
        <f t="shared" si="0"/>
        <v>6</v>
      </c>
      <c r="F18" s="325">
        <f>F14</f>
        <v>3</v>
      </c>
      <c r="G18" s="325">
        <f>G14</f>
        <v>3</v>
      </c>
      <c r="H18" s="332">
        <f t="shared" si="1"/>
        <v>6</v>
      </c>
      <c r="I18" s="332">
        <f t="shared" si="2"/>
        <v>12</v>
      </c>
      <c r="J18" s="1470"/>
      <c r="K18" s="1468"/>
      <c r="L18" s="1468"/>
      <c r="M18" s="318"/>
      <c r="P18" s="320"/>
      <c r="Y18" s="321"/>
      <c r="Z18" s="321"/>
      <c r="AA18" s="321"/>
      <c r="AB18" s="321"/>
      <c r="AC18" s="321"/>
      <c r="AD18" s="321"/>
      <c r="AE18" s="321"/>
      <c r="AF18" s="321"/>
    </row>
    <row r="19" spans="1:32" s="319" customFormat="1">
      <c r="A19" s="323">
        <v>4</v>
      </c>
      <c r="B19" s="310" t="s">
        <v>538</v>
      </c>
      <c r="C19" s="325">
        <f>C14</f>
        <v>3</v>
      </c>
      <c r="D19" s="325">
        <f>D14</f>
        <v>3</v>
      </c>
      <c r="E19" s="326">
        <f t="shared" si="0"/>
        <v>6</v>
      </c>
      <c r="F19" s="325">
        <f>F14</f>
        <v>3</v>
      </c>
      <c r="G19" s="325">
        <f>G14</f>
        <v>3</v>
      </c>
      <c r="H19" s="332">
        <f t="shared" si="1"/>
        <v>6</v>
      </c>
      <c r="I19" s="332">
        <f t="shared" si="2"/>
        <v>12</v>
      </c>
      <c r="J19" s="1471"/>
      <c r="K19" s="1468"/>
      <c r="L19" s="1468"/>
      <c r="M19" s="318"/>
      <c r="P19" s="320"/>
      <c r="Y19" s="321"/>
      <c r="Z19" s="321"/>
      <c r="AA19" s="321"/>
      <c r="AB19" s="321"/>
      <c r="AC19" s="321"/>
      <c r="AD19" s="321"/>
      <c r="AE19" s="321"/>
      <c r="AF19" s="321"/>
    </row>
    <row r="20" spans="1:32" s="319" customFormat="1">
      <c r="A20" s="323">
        <v>5</v>
      </c>
      <c r="B20" s="327" t="s">
        <v>663</v>
      </c>
      <c r="C20" s="325">
        <v>1</v>
      </c>
      <c r="D20" s="325">
        <v>0</v>
      </c>
      <c r="E20" s="326">
        <f t="shared" si="0"/>
        <v>1</v>
      </c>
      <c r="F20" s="325">
        <v>1</v>
      </c>
      <c r="G20" s="325">
        <v>0</v>
      </c>
      <c r="H20" s="332">
        <f t="shared" si="1"/>
        <v>1</v>
      </c>
      <c r="I20" s="332">
        <f t="shared" si="2"/>
        <v>2</v>
      </c>
      <c r="J20" s="316" t="s">
        <v>276</v>
      </c>
      <c r="K20" s="315">
        <f>ROUNDUP((2.8*0.8)*10.764*(36+36+30),0)</f>
        <v>2460</v>
      </c>
      <c r="L20" s="315">
        <v>120</v>
      </c>
      <c r="M20" s="318"/>
      <c r="P20" s="320"/>
      <c r="Y20" s="321"/>
      <c r="Z20" s="321"/>
      <c r="AA20" s="321"/>
      <c r="AB20" s="321"/>
      <c r="AC20" s="321"/>
      <c r="AD20" s="321"/>
      <c r="AE20" s="321"/>
      <c r="AF20" s="321"/>
    </row>
    <row r="21" spans="1:32" s="319" customFormat="1">
      <c r="A21" s="323">
        <v>5</v>
      </c>
      <c r="B21" s="327" t="s">
        <v>664</v>
      </c>
      <c r="C21" s="325">
        <v>0</v>
      </c>
      <c r="D21" s="325">
        <v>1</v>
      </c>
      <c r="E21" s="326">
        <f t="shared" ref="E21" si="3">SUM(C21:D21)</f>
        <v>1</v>
      </c>
      <c r="F21" s="325">
        <v>0</v>
      </c>
      <c r="G21" s="325">
        <v>1</v>
      </c>
      <c r="H21" s="332">
        <f t="shared" ref="H21" si="4">SUM(F21:G21)</f>
        <v>1</v>
      </c>
      <c r="I21" s="332">
        <f t="shared" ref="I21" si="5">ROUNDUP(SUM(E21,H21),0)</f>
        <v>2</v>
      </c>
      <c r="J21" s="316" t="s">
        <v>276</v>
      </c>
      <c r="K21" s="315">
        <f>ROUNDUP((3.2*0.8)*10.764*(36+36+30),0)</f>
        <v>2811</v>
      </c>
      <c r="L21" s="315">
        <v>120</v>
      </c>
      <c r="M21" s="318"/>
      <c r="P21" s="320"/>
      <c r="Y21" s="321"/>
      <c r="Z21" s="321"/>
      <c r="AA21" s="321"/>
      <c r="AB21" s="321"/>
      <c r="AC21" s="321"/>
      <c r="AD21" s="321"/>
      <c r="AE21" s="321"/>
      <c r="AF21" s="321"/>
    </row>
    <row r="22" spans="1:32" s="319" customFormat="1">
      <c r="A22" s="323">
        <v>6</v>
      </c>
      <c r="B22" s="324" t="s">
        <v>541</v>
      </c>
      <c r="C22" s="325">
        <v>4</v>
      </c>
      <c r="D22" s="325">
        <v>0</v>
      </c>
      <c r="E22" s="326">
        <f t="shared" si="0"/>
        <v>4</v>
      </c>
      <c r="F22" s="325">
        <v>4</v>
      </c>
      <c r="G22" s="325">
        <v>0</v>
      </c>
      <c r="H22" s="332">
        <f t="shared" si="1"/>
        <v>4</v>
      </c>
      <c r="I22" s="332">
        <f t="shared" si="2"/>
        <v>8</v>
      </c>
      <c r="J22" s="316" t="s">
        <v>37</v>
      </c>
      <c r="K22" s="317">
        <v>2100</v>
      </c>
      <c r="L22" s="317">
        <v>450</v>
      </c>
      <c r="M22" s="318"/>
      <c r="P22" s="320"/>
      <c r="Y22" s="321"/>
      <c r="Z22" s="321"/>
      <c r="AA22" s="321"/>
      <c r="AB22" s="321"/>
      <c r="AC22" s="321"/>
      <c r="AD22" s="321"/>
      <c r="AE22" s="321"/>
      <c r="AF22" s="321"/>
    </row>
    <row r="23" spans="1:32" s="319" customFormat="1">
      <c r="A23" s="323">
        <v>7</v>
      </c>
      <c r="B23" s="310" t="s">
        <v>542</v>
      </c>
      <c r="C23" s="325">
        <v>1</v>
      </c>
      <c r="D23" s="325">
        <v>1</v>
      </c>
      <c r="E23" s="326">
        <f t="shared" si="0"/>
        <v>2</v>
      </c>
      <c r="F23" s="325">
        <v>1</v>
      </c>
      <c r="G23" s="325">
        <v>1</v>
      </c>
      <c r="H23" s="332">
        <f t="shared" si="1"/>
        <v>2</v>
      </c>
      <c r="I23" s="332">
        <f t="shared" si="2"/>
        <v>4</v>
      </c>
      <c r="J23" s="316" t="s">
        <v>277</v>
      </c>
      <c r="K23" s="317">
        <v>125</v>
      </c>
      <c r="L23" s="317">
        <v>25</v>
      </c>
      <c r="M23" s="318"/>
      <c r="P23" s="320"/>
      <c r="Y23" s="321"/>
      <c r="Z23" s="321"/>
      <c r="AA23" s="321"/>
      <c r="AB23" s="321"/>
      <c r="AC23" s="321"/>
      <c r="AD23" s="321"/>
      <c r="AE23" s="321"/>
      <c r="AF23" s="321"/>
    </row>
    <row r="24" spans="1:32" s="319" customFormat="1">
      <c r="A24" s="323" t="s">
        <v>92</v>
      </c>
      <c r="B24" s="327" t="s">
        <v>281</v>
      </c>
      <c r="C24" s="325">
        <v>3</v>
      </c>
      <c r="D24" s="325">
        <f>D9</f>
        <v>6</v>
      </c>
      <c r="E24" s="326">
        <f t="shared" si="0"/>
        <v>9</v>
      </c>
      <c r="F24" s="325">
        <v>3</v>
      </c>
      <c r="G24" s="325">
        <f>G9</f>
        <v>6</v>
      </c>
      <c r="H24" s="332">
        <f t="shared" si="1"/>
        <v>9</v>
      </c>
      <c r="I24" s="332">
        <f t="shared" si="2"/>
        <v>18</v>
      </c>
      <c r="J24" s="316" t="s">
        <v>37</v>
      </c>
      <c r="K24" s="317">
        <v>12500</v>
      </c>
      <c r="L24" s="317">
        <v>900</v>
      </c>
      <c r="M24" s="318"/>
      <c r="P24" s="320"/>
      <c r="Y24" s="321"/>
      <c r="Z24" s="321"/>
      <c r="AA24" s="321"/>
      <c r="AB24" s="321"/>
      <c r="AC24" s="321"/>
      <c r="AD24" s="321"/>
      <c r="AE24" s="321"/>
      <c r="AF24" s="321"/>
    </row>
    <row r="25" spans="1:32" s="319" customFormat="1">
      <c r="A25" s="323"/>
      <c r="B25" s="310" t="s">
        <v>1175</v>
      </c>
      <c r="C25" s="325">
        <f>ROUNDUP((0.6*2.8)+(0.25*2.8+0.25*0.6)+(0.1*3.6),0)</f>
        <v>3</v>
      </c>
      <c r="D25" s="325">
        <f>ROUNDUP((0.6*3.2)+(0.25*3.2)+(0.2*0.9*5+0.2*0.6),0)</f>
        <v>4</v>
      </c>
      <c r="E25" s="326">
        <f t="shared" si="0"/>
        <v>7</v>
      </c>
      <c r="F25" s="325">
        <f>ROUNDUP((0.6*2.8)+(0.25*2.8+0.25*0.6)+(0.1*3.6),0)</f>
        <v>3</v>
      </c>
      <c r="G25" s="325">
        <f>ROUNDUP((0.6*3.2)+(0.25*3.2)+(0.2*0.9*5+0.2*0.6),0)</f>
        <v>4</v>
      </c>
      <c r="H25" s="332">
        <f t="shared" si="1"/>
        <v>7</v>
      </c>
      <c r="I25" s="332">
        <f t="shared" si="2"/>
        <v>14</v>
      </c>
      <c r="J25" s="316" t="s">
        <v>278</v>
      </c>
      <c r="K25" s="317">
        <v>257</v>
      </c>
      <c r="L25" s="317">
        <v>158</v>
      </c>
      <c r="M25" s="318"/>
      <c r="P25" s="320"/>
      <c r="Y25" s="321"/>
      <c r="Z25" s="321"/>
      <c r="AA25" s="321"/>
      <c r="AB25" s="321"/>
      <c r="AC25" s="321"/>
      <c r="AD25" s="321"/>
      <c r="AE25" s="321"/>
      <c r="AF25" s="321"/>
    </row>
    <row r="26" spans="1:32" s="319" customFormat="1">
      <c r="A26" s="323"/>
      <c r="B26" s="310" t="s">
        <v>93</v>
      </c>
      <c r="C26" s="325">
        <v>2.8</v>
      </c>
      <c r="D26" s="325">
        <v>3.2</v>
      </c>
      <c r="E26" s="326">
        <f t="shared" si="0"/>
        <v>6</v>
      </c>
      <c r="F26" s="325">
        <v>2.8</v>
      </c>
      <c r="G26" s="325">
        <v>3.2</v>
      </c>
      <c r="H26" s="332">
        <f t="shared" si="1"/>
        <v>6</v>
      </c>
      <c r="I26" s="332">
        <f t="shared" si="2"/>
        <v>12</v>
      </c>
      <c r="J26" s="316" t="s">
        <v>8</v>
      </c>
      <c r="K26" s="317">
        <v>0</v>
      </c>
      <c r="L26" s="317">
        <v>160</v>
      </c>
      <c r="M26" s="318"/>
      <c r="P26" s="320"/>
      <c r="Y26" s="321"/>
      <c r="Z26" s="321"/>
      <c r="AA26" s="321"/>
      <c r="AB26" s="321"/>
      <c r="AC26" s="321"/>
      <c r="AD26" s="321"/>
      <c r="AE26" s="321"/>
      <c r="AF26" s="321"/>
    </row>
    <row r="27" spans="1:32" s="319" customFormat="1">
      <c r="A27" s="323"/>
      <c r="B27" s="310" t="s">
        <v>94</v>
      </c>
      <c r="C27" s="311">
        <f>ROUNDUP((305*(C26*0.25*0.6))/50,0)</f>
        <v>3</v>
      </c>
      <c r="D27" s="311">
        <f>ROUNDUP((305*(D26*0.25*0.6))/50,0)</f>
        <v>3</v>
      </c>
      <c r="E27" s="326">
        <f t="shared" si="0"/>
        <v>6</v>
      </c>
      <c r="F27" s="311">
        <f>ROUNDUP((305*(F26*0.25*0.6))/50,0)</f>
        <v>3</v>
      </c>
      <c r="G27" s="311">
        <f>ROUNDUP((305*(G26*0.25*0.6))/50,0)</f>
        <v>3</v>
      </c>
      <c r="H27" s="332">
        <f t="shared" si="1"/>
        <v>6</v>
      </c>
      <c r="I27" s="332">
        <f t="shared" si="2"/>
        <v>12</v>
      </c>
      <c r="J27" s="322" t="s">
        <v>95</v>
      </c>
      <c r="K27" s="314">
        <v>108.27</v>
      </c>
      <c r="L27" s="315">
        <v>0</v>
      </c>
      <c r="M27" s="318"/>
      <c r="P27" s="320"/>
      <c r="Y27" s="321"/>
      <c r="Z27" s="321"/>
      <c r="AA27" s="321"/>
      <c r="AB27" s="321"/>
      <c r="AC27" s="321"/>
      <c r="AD27" s="321"/>
      <c r="AE27" s="321"/>
      <c r="AF27" s="321"/>
    </row>
    <row r="28" spans="1:32" s="319" customFormat="1">
      <c r="A28" s="323"/>
      <c r="B28" s="310" t="s">
        <v>96</v>
      </c>
      <c r="C28" s="312">
        <f>ROUNDUP((635*(0.6*C27*0.25))/1450,0)</f>
        <v>1</v>
      </c>
      <c r="D28" s="312">
        <f>ROUNDUP((635*(0.6*D27*0.25))/1450,0)</f>
        <v>1</v>
      </c>
      <c r="E28" s="326">
        <f t="shared" si="0"/>
        <v>2</v>
      </c>
      <c r="F28" s="312">
        <f>ROUNDUP((635*(0.6*F27*0.25))/1450,0)</f>
        <v>1</v>
      </c>
      <c r="G28" s="312">
        <f>ROUNDUP((635*(0.6*G27*0.25))/1450,0)</f>
        <v>1</v>
      </c>
      <c r="H28" s="332">
        <f t="shared" si="1"/>
        <v>2</v>
      </c>
      <c r="I28" s="332">
        <f t="shared" si="2"/>
        <v>4</v>
      </c>
      <c r="J28" s="322" t="s">
        <v>545</v>
      </c>
      <c r="K28" s="314">
        <v>537.39</v>
      </c>
      <c r="L28" s="315">
        <v>0</v>
      </c>
      <c r="M28" s="318"/>
      <c r="Y28" s="321"/>
      <c r="Z28" s="321"/>
      <c r="AA28" s="321"/>
      <c r="AB28" s="321"/>
      <c r="AC28" s="321"/>
      <c r="AD28" s="321"/>
      <c r="AE28" s="321"/>
      <c r="AF28" s="321"/>
    </row>
    <row r="29" spans="1:32" s="319" customFormat="1">
      <c r="A29" s="328"/>
      <c r="B29" s="310" t="s">
        <v>97</v>
      </c>
      <c r="C29" s="312">
        <f>ROUNDUP((1275*(0.6*C28*0.25))/1450,0)</f>
        <v>1</v>
      </c>
      <c r="D29" s="312">
        <f>ROUNDUP((1275*(0.6*D28*0.25))/1450,0)</f>
        <v>1</v>
      </c>
      <c r="E29" s="326">
        <f t="shared" si="0"/>
        <v>2</v>
      </c>
      <c r="F29" s="312">
        <f>ROUNDUP((1275*(0.6*F28*0.25))/1450,0)</f>
        <v>1</v>
      </c>
      <c r="G29" s="312">
        <f>ROUNDUP((1275*(0.6*G28*0.25))/1450,0)</f>
        <v>1</v>
      </c>
      <c r="H29" s="332">
        <f t="shared" si="1"/>
        <v>2</v>
      </c>
      <c r="I29" s="332">
        <f t="shared" si="2"/>
        <v>4</v>
      </c>
      <c r="J29" s="322" t="s">
        <v>545</v>
      </c>
      <c r="K29" s="314">
        <v>280.37</v>
      </c>
      <c r="L29" s="315">
        <v>0</v>
      </c>
      <c r="M29" s="318"/>
      <c r="Y29" s="321"/>
      <c r="Z29" s="321"/>
      <c r="AA29" s="321"/>
      <c r="AB29" s="321"/>
      <c r="AC29" s="321"/>
      <c r="AD29" s="321"/>
      <c r="AE29" s="321"/>
      <c r="AF29" s="321"/>
    </row>
    <row r="30" spans="1:32" s="319" customFormat="1">
      <c r="A30" s="328"/>
      <c r="B30" s="310" t="s">
        <v>543</v>
      </c>
      <c r="C30" s="313">
        <f>ROUNDUP((((0.6*(C26/0.15))*2)+((C26*(0.6/0.15)*2))*0.499),0)</f>
        <v>34</v>
      </c>
      <c r="D30" s="313">
        <f>ROUNDUP((((0.6*(D26/0.15))*2)+((D26*(0.6/0.15)*2))*0.499),0)</f>
        <v>39</v>
      </c>
      <c r="E30" s="326">
        <f t="shared" si="0"/>
        <v>73</v>
      </c>
      <c r="F30" s="313">
        <f>ROUNDUP((((0.6*(F26/0.15))*2)+((F26*(0.6/0.15)*2))*0.499),0)</f>
        <v>34</v>
      </c>
      <c r="G30" s="313">
        <f>ROUNDUP((((0.6*(G26/0.15))*2)+((G26*(0.6/0.15)*2))*0.499),0)</f>
        <v>39</v>
      </c>
      <c r="H30" s="332">
        <f t="shared" si="1"/>
        <v>73</v>
      </c>
      <c r="I30" s="332">
        <f t="shared" si="2"/>
        <v>146</v>
      </c>
      <c r="J30" s="322" t="s">
        <v>85</v>
      </c>
      <c r="K30" s="314">
        <v>25.09</v>
      </c>
      <c r="L30" s="315">
        <v>4.0999999999999996</v>
      </c>
      <c r="M30" s="318"/>
      <c r="Y30" s="321"/>
      <c r="Z30" s="321"/>
      <c r="AA30" s="321"/>
      <c r="AB30" s="321"/>
      <c r="AC30" s="321"/>
      <c r="AD30" s="321"/>
      <c r="AE30" s="321"/>
      <c r="AF30" s="321"/>
    </row>
    <row r="31" spans="1:32" s="319" customFormat="1">
      <c r="A31" s="328"/>
      <c r="B31" s="310" t="s">
        <v>98</v>
      </c>
      <c r="C31" s="312">
        <f>(C26*0.6+C26*0.25)*70%</f>
        <v>1.6659999999999999</v>
      </c>
      <c r="D31" s="312">
        <f>(D26*0.6+D26*0.25)*70%</f>
        <v>1.9039999999999997</v>
      </c>
      <c r="E31" s="326">
        <f t="shared" si="0"/>
        <v>3.5699999999999994</v>
      </c>
      <c r="F31" s="312">
        <f>(F26*0.6+F26*0.25)*70%</f>
        <v>1.6659999999999999</v>
      </c>
      <c r="G31" s="312">
        <f>(G26*0.6+G26*0.25)*70%</f>
        <v>1.9039999999999997</v>
      </c>
      <c r="H31" s="332">
        <f t="shared" si="1"/>
        <v>3.5699999999999994</v>
      </c>
      <c r="I31" s="332">
        <f t="shared" si="2"/>
        <v>8</v>
      </c>
      <c r="J31" s="322" t="s">
        <v>278</v>
      </c>
      <c r="K31" s="315">
        <v>400</v>
      </c>
      <c r="L31" s="314">
        <v>133</v>
      </c>
      <c r="M31" s="318"/>
      <c r="Y31" s="321"/>
      <c r="Z31" s="321"/>
      <c r="AA31" s="321"/>
      <c r="AB31" s="321"/>
      <c r="AC31" s="321"/>
      <c r="AD31" s="321"/>
      <c r="AE31" s="321"/>
      <c r="AF31" s="321"/>
    </row>
    <row r="32" spans="1:32" s="319" customFormat="1">
      <c r="A32" s="328"/>
      <c r="B32" s="310" t="s">
        <v>544</v>
      </c>
      <c r="C32" s="328"/>
      <c r="D32" s="328"/>
      <c r="E32" s="328"/>
      <c r="F32" s="328"/>
      <c r="G32" s="328"/>
      <c r="H32" s="328"/>
      <c r="I32" s="332">
        <v>1</v>
      </c>
      <c r="J32" s="312" t="s">
        <v>43</v>
      </c>
      <c r="K32" s="328"/>
      <c r="L32" s="328"/>
      <c r="M32" s="318"/>
      <c r="Y32" s="321"/>
      <c r="Z32" s="321"/>
      <c r="AA32" s="321"/>
      <c r="AB32" s="321"/>
      <c r="AC32" s="321"/>
      <c r="AD32" s="321"/>
      <c r="AE32" s="321"/>
      <c r="AF32" s="321"/>
    </row>
    <row r="33" spans="1:24">
      <c r="A33" s="208"/>
      <c r="B33" s="208"/>
      <c r="K33" s="213"/>
      <c r="L33" s="213"/>
      <c r="P33" s="212"/>
    </row>
    <row r="34" spans="1:24">
      <c r="A34" s="208"/>
      <c r="B34" s="210"/>
    </row>
    <row r="35" spans="1:24">
      <c r="A35" s="208"/>
      <c r="B35" s="208"/>
    </row>
    <row r="36" spans="1:24">
      <c r="A36" s="208"/>
      <c r="B36" s="208"/>
    </row>
    <row r="37" spans="1:24">
      <c r="A37" s="208"/>
      <c r="B37" s="208"/>
    </row>
    <row r="38" spans="1:24">
      <c r="A38" s="208"/>
      <c r="B38" s="208"/>
    </row>
    <row r="39" spans="1:24">
      <c r="A39" s="208"/>
      <c r="B39" s="208"/>
    </row>
    <row r="40" spans="1:24">
      <c r="A40" s="208"/>
      <c r="B40" s="208"/>
    </row>
    <row r="41" spans="1:24">
      <c r="A41" s="208"/>
      <c r="B41" s="208"/>
    </row>
    <row r="42" spans="1:24">
      <c r="A42" s="208"/>
      <c r="B42" s="208"/>
    </row>
    <row r="43" spans="1:24">
      <c r="A43" s="208"/>
      <c r="B43" s="208"/>
      <c r="Q43" s="208"/>
      <c r="R43" s="208"/>
      <c r="S43" s="208"/>
      <c r="T43" s="208"/>
      <c r="U43" s="208"/>
      <c r="V43" s="208"/>
      <c r="W43" s="208"/>
      <c r="X43" s="208"/>
    </row>
    <row r="44" spans="1:24">
      <c r="A44" s="208"/>
      <c r="B44" s="208"/>
      <c r="Q44" s="208"/>
      <c r="R44" s="208"/>
      <c r="S44" s="208"/>
      <c r="T44" s="208"/>
      <c r="U44" s="208"/>
      <c r="V44" s="208"/>
      <c r="W44" s="208"/>
      <c r="X44" s="208"/>
    </row>
    <row r="45" spans="1:24">
      <c r="A45" s="208"/>
      <c r="B45" s="208"/>
      <c r="Q45" s="208"/>
      <c r="R45" s="208"/>
      <c r="S45" s="208"/>
      <c r="T45" s="208"/>
      <c r="U45" s="208"/>
      <c r="V45" s="208"/>
      <c r="W45" s="208"/>
      <c r="X45" s="208"/>
    </row>
    <row r="46" spans="1:24">
      <c r="A46" s="208"/>
      <c r="B46" s="208"/>
      <c r="Q46" s="208"/>
      <c r="R46" s="208"/>
      <c r="S46" s="208"/>
      <c r="T46" s="208"/>
      <c r="U46" s="208"/>
      <c r="V46" s="208"/>
      <c r="W46" s="208"/>
      <c r="X46" s="208"/>
    </row>
    <row r="47" spans="1:24">
      <c r="A47" s="208"/>
      <c r="B47" s="208"/>
      <c r="Q47" s="208"/>
      <c r="R47" s="208"/>
      <c r="S47" s="208"/>
      <c r="T47" s="208"/>
      <c r="U47" s="208"/>
      <c r="V47" s="208"/>
      <c r="W47" s="208"/>
      <c r="X47" s="208"/>
    </row>
    <row r="48" spans="1:24">
      <c r="A48" s="208"/>
      <c r="B48" s="208"/>
      <c r="Q48" s="208"/>
      <c r="R48" s="208"/>
      <c r="S48" s="208"/>
      <c r="T48" s="208"/>
      <c r="U48" s="208"/>
      <c r="V48" s="208"/>
      <c r="W48" s="208"/>
      <c r="X48" s="208"/>
    </row>
    <row r="49" spans="1:24">
      <c r="A49" s="208"/>
      <c r="B49" s="208"/>
      <c r="Q49" s="208"/>
      <c r="R49" s="208"/>
      <c r="S49" s="208"/>
      <c r="T49" s="208"/>
      <c r="U49" s="208"/>
      <c r="V49" s="208"/>
      <c r="W49" s="208"/>
      <c r="X49" s="208"/>
    </row>
    <row r="50" spans="1:24">
      <c r="A50" s="208"/>
      <c r="B50" s="208"/>
      <c r="Q50" s="208"/>
      <c r="R50" s="208"/>
      <c r="S50" s="208"/>
      <c r="T50" s="208"/>
      <c r="U50" s="208"/>
      <c r="V50" s="208"/>
      <c r="W50" s="208"/>
      <c r="X50" s="208"/>
    </row>
    <row r="51" spans="1:24">
      <c r="A51" s="208"/>
      <c r="B51" s="208"/>
      <c r="Q51" s="208"/>
      <c r="R51" s="208"/>
      <c r="S51" s="208"/>
      <c r="T51" s="208"/>
      <c r="U51" s="208"/>
      <c r="V51" s="208"/>
      <c r="W51" s="208"/>
      <c r="X51" s="208"/>
    </row>
    <row r="52" spans="1:24">
      <c r="A52" s="208"/>
      <c r="B52" s="208"/>
      <c r="Q52" s="208"/>
      <c r="R52" s="208"/>
      <c r="S52" s="208"/>
      <c r="T52" s="208"/>
      <c r="U52" s="208"/>
      <c r="V52" s="208"/>
      <c r="W52" s="208"/>
      <c r="X52" s="208"/>
    </row>
    <row r="53" spans="1:24">
      <c r="A53" s="208"/>
      <c r="B53" s="208"/>
      <c r="Q53" s="208"/>
      <c r="R53" s="208"/>
      <c r="S53" s="208"/>
      <c r="T53" s="208"/>
      <c r="U53" s="208"/>
      <c r="V53" s="208"/>
      <c r="W53" s="208"/>
      <c r="X53" s="208"/>
    </row>
  </sheetData>
  <sheetProtection algorithmName="SHA-512" hashValue="vUa2UfXCejLTRp0krhTKUzpImqlM4jaSMwJnz++5R2MyBtZziMWhOg1nUzwVo3Frfl+iNlLLbus/CRI9ZNiEfQ==" saltValue="zaYkdiGFn596FxVaoPK2JQ==" spinCount="100000" sheet="1" objects="1" scenarios="1" selectLockedCells="1" selectUnlockedCells="1"/>
  <mergeCells count="10">
    <mergeCell ref="A7:B7"/>
    <mergeCell ref="A8:B8"/>
    <mergeCell ref="K14:K19"/>
    <mergeCell ref="L14:L19"/>
    <mergeCell ref="I7:I8"/>
    <mergeCell ref="J14:J19"/>
    <mergeCell ref="C7:D7"/>
    <mergeCell ref="E7:E8"/>
    <mergeCell ref="F7:G7"/>
    <mergeCell ref="H7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Y12" sqref="Y12"/>
    </sheetView>
  </sheetViews>
  <sheetFormatPr defaultRowHeight="24"/>
  <cols>
    <col min="1" max="1" width="13.5703125" style="12" customWidth="1"/>
    <col min="2" max="2" width="11" style="12" customWidth="1"/>
    <col min="3" max="3" width="3.28515625" style="12" customWidth="1"/>
    <col min="4" max="4" width="9.28515625" style="12"/>
    <col min="5" max="5" width="4.7109375" style="12" customWidth="1"/>
    <col min="6" max="6" width="2.42578125" style="12" customWidth="1"/>
    <col min="7" max="7" width="3.28515625" style="12" customWidth="1"/>
    <col min="8" max="8" width="5" style="12" customWidth="1"/>
    <col min="9" max="9" width="3.28515625" style="12" customWidth="1"/>
    <col min="10" max="10" width="5" style="12" customWidth="1"/>
    <col min="11" max="13" width="3.28515625" style="12" customWidth="1"/>
    <col min="14" max="14" width="5" style="12" customWidth="1"/>
    <col min="15" max="15" width="3.28515625" style="12" customWidth="1"/>
    <col min="16" max="16" width="5.7109375" style="12" customWidth="1"/>
    <col min="17" max="17" width="3.28515625" style="12" customWidth="1"/>
    <col min="18" max="19" width="2.42578125" style="12" customWidth="1"/>
    <col min="20" max="20" width="7.5703125" style="12" customWidth="1"/>
    <col min="21" max="21" width="13.5703125" style="11" customWidth="1"/>
    <col min="22" max="22" width="14.28515625" style="11" customWidth="1"/>
    <col min="23" max="23" width="14.28515625" style="12" customWidth="1"/>
    <col min="24" max="257" width="9.28515625" style="12"/>
    <col min="258" max="258" width="13.5703125" style="12" customWidth="1"/>
    <col min="259" max="259" width="11" style="12" customWidth="1"/>
    <col min="260" max="260" width="3.28515625" style="12" customWidth="1"/>
    <col min="261" max="261" width="9.28515625" style="12"/>
    <col min="262" max="262" width="2.42578125" style="12" customWidth="1"/>
    <col min="263" max="263" width="3.28515625" style="12" customWidth="1"/>
    <col min="264" max="264" width="5" style="12" customWidth="1"/>
    <col min="265" max="265" width="3.28515625" style="12" customWidth="1"/>
    <col min="266" max="266" width="5" style="12" customWidth="1"/>
    <col min="267" max="269" width="3.28515625" style="12" customWidth="1"/>
    <col min="270" max="270" width="5" style="12" customWidth="1"/>
    <col min="271" max="271" width="3.28515625" style="12" customWidth="1"/>
    <col min="272" max="272" width="5" style="12" customWidth="1"/>
    <col min="273" max="274" width="3.28515625" style="12" customWidth="1"/>
    <col min="275" max="275" width="2.42578125" style="12" customWidth="1"/>
    <col min="276" max="276" width="7.5703125" style="12" customWidth="1"/>
    <col min="277" max="278" width="9.28515625" style="12"/>
    <col min="279" max="279" width="21.7109375" style="12" customWidth="1"/>
    <col min="280" max="513" width="9.28515625" style="12"/>
    <col min="514" max="514" width="13.5703125" style="12" customWidth="1"/>
    <col min="515" max="515" width="11" style="12" customWidth="1"/>
    <col min="516" max="516" width="3.28515625" style="12" customWidth="1"/>
    <col min="517" max="517" width="9.28515625" style="12"/>
    <col min="518" max="518" width="2.42578125" style="12" customWidth="1"/>
    <col min="519" max="519" width="3.28515625" style="12" customWidth="1"/>
    <col min="520" max="520" width="5" style="12" customWidth="1"/>
    <col min="521" max="521" width="3.28515625" style="12" customWidth="1"/>
    <col min="522" max="522" width="5" style="12" customWidth="1"/>
    <col min="523" max="525" width="3.28515625" style="12" customWidth="1"/>
    <col min="526" max="526" width="5" style="12" customWidth="1"/>
    <col min="527" max="527" width="3.28515625" style="12" customWidth="1"/>
    <col min="528" max="528" width="5" style="12" customWidth="1"/>
    <col min="529" max="530" width="3.28515625" style="12" customWidth="1"/>
    <col min="531" max="531" width="2.42578125" style="12" customWidth="1"/>
    <col min="532" max="532" width="7.5703125" style="12" customWidth="1"/>
    <col min="533" max="534" width="9.28515625" style="12"/>
    <col min="535" max="535" width="21.7109375" style="12" customWidth="1"/>
    <col min="536" max="769" width="9.28515625" style="12"/>
    <col min="770" max="770" width="13.5703125" style="12" customWidth="1"/>
    <col min="771" max="771" width="11" style="12" customWidth="1"/>
    <col min="772" max="772" width="3.28515625" style="12" customWidth="1"/>
    <col min="773" max="773" width="9.28515625" style="12"/>
    <col min="774" max="774" width="2.42578125" style="12" customWidth="1"/>
    <col min="775" max="775" width="3.28515625" style="12" customWidth="1"/>
    <col min="776" max="776" width="5" style="12" customWidth="1"/>
    <col min="777" max="777" width="3.28515625" style="12" customWidth="1"/>
    <col min="778" max="778" width="5" style="12" customWidth="1"/>
    <col min="779" max="781" width="3.28515625" style="12" customWidth="1"/>
    <col min="782" max="782" width="5" style="12" customWidth="1"/>
    <col min="783" max="783" width="3.28515625" style="12" customWidth="1"/>
    <col min="784" max="784" width="5" style="12" customWidth="1"/>
    <col min="785" max="786" width="3.28515625" style="12" customWidth="1"/>
    <col min="787" max="787" width="2.42578125" style="12" customWidth="1"/>
    <col min="788" max="788" width="7.5703125" style="12" customWidth="1"/>
    <col min="789" max="790" width="9.28515625" style="12"/>
    <col min="791" max="791" width="21.7109375" style="12" customWidth="1"/>
    <col min="792" max="1025" width="9.28515625" style="12"/>
    <col min="1026" max="1026" width="13.5703125" style="12" customWidth="1"/>
    <col min="1027" max="1027" width="11" style="12" customWidth="1"/>
    <col min="1028" max="1028" width="3.28515625" style="12" customWidth="1"/>
    <col min="1029" max="1029" width="9.28515625" style="12"/>
    <col min="1030" max="1030" width="2.42578125" style="12" customWidth="1"/>
    <col min="1031" max="1031" width="3.28515625" style="12" customWidth="1"/>
    <col min="1032" max="1032" width="5" style="12" customWidth="1"/>
    <col min="1033" max="1033" width="3.28515625" style="12" customWidth="1"/>
    <col min="1034" max="1034" width="5" style="12" customWidth="1"/>
    <col min="1035" max="1037" width="3.28515625" style="12" customWidth="1"/>
    <col min="1038" max="1038" width="5" style="12" customWidth="1"/>
    <col min="1039" max="1039" width="3.28515625" style="12" customWidth="1"/>
    <col min="1040" max="1040" width="5" style="12" customWidth="1"/>
    <col min="1041" max="1042" width="3.28515625" style="12" customWidth="1"/>
    <col min="1043" max="1043" width="2.42578125" style="12" customWidth="1"/>
    <col min="1044" max="1044" width="7.5703125" style="12" customWidth="1"/>
    <col min="1045" max="1046" width="9.28515625" style="12"/>
    <col min="1047" max="1047" width="21.7109375" style="12" customWidth="1"/>
    <col min="1048" max="1281" width="9.28515625" style="12"/>
    <col min="1282" max="1282" width="13.5703125" style="12" customWidth="1"/>
    <col min="1283" max="1283" width="11" style="12" customWidth="1"/>
    <col min="1284" max="1284" width="3.28515625" style="12" customWidth="1"/>
    <col min="1285" max="1285" width="9.28515625" style="12"/>
    <col min="1286" max="1286" width="2.42578125" style="12" customWidth="1"/>
    <col min="1287" max="1287" width="3.28515625" style="12" customWidth="1"/>
    <col min="1288" max="1288" width="5" style="12" customWidth="1"/>
    <col min="1289" max="1289" width="3.28515625" style="12" customWidth="1"/>
    <col min="1290" max="1290" width="5" style="12" customWidth="1"/>
    <col min="1291" max="1293" width="3.28515625" style="12" customWidth="1"/>
    <col min="1294" max="1294" width="5" style="12" customWidth="1"/>
    <col min="1295" max="1295" width="3.28515625" style="12" customWidth="1"/>
    <col min="1296" max="1296" width="5" style="12" customWidth="1"/>
    <col min="1297" max="1298" width="3.28515625" style="12" customWidth="1"/>
    <col min="1299" max="1299" width="2.42578125" style="12" customWidth="1"/>
    <col min="1300" max="1300" width="7.5703125" style="12" customWidth="1"/>
    <col min="1301" max="1302" width="9.28515625" style="12"/>
    <col min="1303" max="1303" width="21.7109375" style="12" customWidth="1"/>
    <col min="1304" max="1537" width="9.28515625" style="12"/>
    <col min="1538" max="1538" width="13.5703125" style="12" customWidth="1"/>
    <col min="1539" max="1539" width="11" style="12" customWidth="1"/>
    <col min="1540" max="1540" width="3.28515625" style="12" customWidth="1"/>
    <col min="1541" max="1541" width="9.28515625" style="12"/>
    <col min="1542" max="1542" width="2.42578125" style="12" customWidth="1"/>
    <col min="1543" max="1543" width="3.28515625" style="12" customWidth="1"/>
    <col min="1544" max="1544" width="5" style="12" customWidth="1"/>
    <col min="1545" max="1545" width="3.28515625" style="12" customWidth="1"/>
    <col min="1546" max="1546" width="5" style="12" customWidth="1"/>
    <col min="1547" max="1549" width="3.28515625" style="12" customWidth="1"/>
    <col min="1550" max="1550" width="5" style="12" customWidth="1"/>
    <col min="1551" max="1551" width="3.28515625" style="12" customWidth="1"/>
    <col min="1552" max="1552" width="5" style="12" customWidth="1"/>
    <col min="1553" max="1554" width="3.28515625" style="12" customWidth="1"/>
    <col min="1555" max="1555" width="2.42578125" style="12" customWidth="1"/>
    <col min="1556" max="1556" width="7.5703125" style="12" customWidth="1"/>
    <col min="1557" max="1558" width="9.28515625" style="12"/>
    <col min="1559" max="1559" width="21.7109375" style="12" customWidth="1"/>
    <col min="1560" max="1793" width="9.28515625" style="12"/>
    <col min="1794" max="1794" width="13.5703125" style="12" customWidth="1"/>
    <col min="1795" max="1795" width="11" style="12" customWidth="1"/>
    <col min="1796" max="1796" width="3.28515625" style="12" customWidth="1"/>
    <col min="1797" max="1797" width="9.28515625" style="12"/>
    <col min="1798" max="1798" width="2.42578125" style="12" customWidth="1"/>
    <col min="1799" max="1799" width="3.28515625" style="12" customWidth="1"/>
    <col min="1800" max="1800" width="5" style="12" customWidth="1"/>
    <col min="1801" max="1801" width="3.28515625" style="12" customWidth="1"/>
    <col min="1802" max="1802" width="5" style="12" customWidth="1"/>
    <col min="1803" max="1805" width="3.28515625" style="12" customWidth="1"/>
    <col min="1806" max="1806" width="5" style="12" customWidth="1"/>
    <col min="1807" max="1807" width="3.28515625" style="12" customWidth="1"/>
    <col min="1808" max="1808" width="5" style="12" customWidth="1"/>
    <col min="1809" max="1810" width="3.28515625" style="12" customWidth="1"/>
    <col min="1811" max="1811" width="2.42578125" style="12" customWidth="1"/>
    <col min="1812" max="1812" width="7.5703125" style="12" customWidth="1"/>
    <col min="1813" max="1814" width="9.28515625" style="12"/>
    <col min="1815" max="1815" width="21.7109375" style="12" customWidth="1"/>
    <col min="1816" max="2049" width="9.28515625" style="12"/>
    <col min="2050" max="2050" width="13.5703125" style="12" customWidth="1"/>
    <col min="2051" max="2051" width="11" style="12" customWidth="1"/>
    <col min="2052" max="2052" width="3.28515625" style="12" customWidth="1"/>
    <col min="2053" max="2053" width="9.28515625" style="12"/>
    <col min="2054" max="2054" width="2.42578125" style="12" customWidth="1"/>
    <col min="2055" max="2055" width="3.28515625" style="12" customWidth="1"/>
    <col min="2056" max="2056" width="5" style="12" customWidth="1"/>
    <col min="2057" max="2057" width="3.28515625" style="12" customWidth="1"/>
    <col min="2058" max="2058" width="5" style="12" customWidth="1"/>
    <col min="2059" max="2061" width="3.28515625" style="12" customWidth="1"/>
    <col min="2062" max="2062" width="5" style="12" customWidth="1"/>
    <col min="2063" max="2063" width="3.28515625" style="12" customWidth="1"/>
    <col min="2064" max="2064" width="5" style="12" customWidth="1"/>
    <col min="2065" max="2066" width="3.28515625" style="12" customWidth="1"/>
    <col min="2067" max="2067" width="2.42578125" style="12" customWidth="1"/>
    <col min="2068" max="2068" width="7.5703125" style="12" customWidth="1"/>
    <col min="2069" max="2070" width="9.28515625" style="12"/>
    <col min="2071" max="2071" width="21.7109375" style="12" customWidth="1"/>
    <col min="2072" max="2305" width="9.28515625" style="12"/>
    <col min="2306" max="2306" width="13.5703125" style="12" customWidth="1"/>
    <col min="2307" max="2307" width="11" style="12" customWidth="1"/>
    <col min="2308" max="2308" width="3.28515625" style="12" customWidth="1"/>
    <col min="2309" max="2309" width="9.28515625" style="12"/>
    <col min="2310" max="2310" width="2.42578125" style="12" customWidth="1"/>
    <col min="2311" max="2311" width="3.28515625" style="12" customWidth="1"/>
    <col min="2312" max="2312" width="5" style="12" customWidth="1"/>
    <col min="2313" max="2313" width="3.28515625" style="12" customWidth="1"/>
    <col min="2314" max="2314" width="5" style="12" customWidth="1"/>
    <col min="2315" max="2317" width="3.28515625" style="12" customWidth="1"/>
    <col min="2318" max="2318" width="5" style="12" customWidth="1"/>
    <col min="2319" max="2319" width="3.28515625" style="12" customWidth="1"/>
    <col min="2320" max="2320" width="5" style="12" customWidth="1"/>
    <col min="2321" max="2322" width="3.28515625" style="12" customWidth="1"/>
    <col min="2323" max="2323" width="2.42578125" style="12" customWidth="1"/>
    <col min="2324" max="2324" width="7.5703125" style="12" customWidth="1"/>
    <col min="2325" max="2326" width="9.28515625" style="12"/>
    <col min="2327" max="2327" width="21.7109375" style="12" customWidth="1"/>
    <col min="2328" max="2561" width="9.28515625" style="12"/>
    <col min="2562" max="2562" width="13.5703125" style="12" customWidth="1"/>
    <col min="2563" max="2563" width="11" style="12" customWidth="1"/>
    <col min="2564" max="2564" width="3.28515625" style="12" customWidth="1"/>
    <col min="2565" max="2565" width="9.28515625" style="12"/>
    <col min="2566" max="2566" width="2.42578125" style="12" customWidth="1"/>
    <col min="2567" max="2567" width="3.28515625" style="12" customWidth="1"/>
    <col min="2568" max="2568" width="5" style="12" customWidth="1"/>
    <col min="2569" max="2569" width="3.28515625" style="12" customWidth="1"/>
    <col min="2570" max="2570" width="5" style="12" customWidth="1"/>
    <col min="2571" max="2573" width="3.28515625" style="12" customWidth="1"/>
    <col min="2574" max="2574" width="5" style="12" customWidth="1"/>
    <col min="2575" max="2575" width="3.28515625" style="12" customWidth="1"/>
    <col min="2576" max="2576" width="5" style="12" customWidth="1"/>
    <col min="2577" max="2578" width="3.28515625" style="12" customWidth="1"/>
    <col min="2579" max="2579" width="2.42578125" style="12" customWidth="1"/>
    <col min="2580" max="2580" width="7.5703125" style="12" customWidth="1"/>
    <col min="2581" max="2582" width="9.28515625" style="12"/>
    <col min="2583" max="2583" width="21.7109375" style="12" customWidth="1"/>
    <col min="2584" max="2817" width="9.28515625" style="12"/>
    <col min="2818" max="2818" width="13.5703125" style="12" customWidth="1"/>
    <col min="2819" max="2819" width="11" style="12" customWidth="1"/>
    <col min="2820" max="2820" width="3.28515625" style="12" customWidth="1"/>
    <col min="2821" max="2821" width="9.28515625" style="12"/>
    <col min="2822" max="2822" width="2.42578125" style="12" customWidth="1"/>
    <col min="2823" max="2823" width="3.28515625" style="12" customWidth="1"/>
    <col min="2824" max="2824" width="5" style="12" customWidth="1"/>
    <col min="2825" max="2825" width="3.28515625" style="12" customWidth="1"/>
    <col min="2826" max="2826" width="5" style="12" customWidth="1"/>
    <col min="2827" max="2829" width="3.28515625" style="12" customWidth="1"/>
    <col min="2830" max="2830" width="5" style="12" customWidth="1"/>
    <col min="2831" max="2831" width="3.28515625" style="12" customWidth="1"/>
    <col min="2832" max="2832" width="5" style="12" customWidth="1"/>
    <col min="2833" max="2834" width="3.28515625" style="12" customWidth="1"/>
    <col min="2835" max="2835" width="2.42578125" style="12" customWidth="1"/>
    <col min="2836" max="2836" width="7.5703125" style="12" customWidth="1"/>
    <col min="2837" max="2838" width="9.28515625" style="12"/>
    <col min="2839" max="2839" width="21.7109375" style="12" customWidth="1"/>
    <col min="2840" max="3073" width="9.28515625" style="12"/>
    <col min="3074" max="3074" width="13.5703125" style="12" customWidth="1"/>
    <col min="3075" max="3075" width="11" style="12" customWidth="1"/>
    <col min="3076" max="3076" width="3.28515625" style="12" customWidth="1"/>
    <col min="3077" max="3077" width="9.28515625" style="12"/>
    <col min="3078" max="3078" width="2.42578125" style="12" customWidth="1"/>
    <col min="3079" max="3079" width="3.28515625" style="12" customWidth="1"/>
    <col min="3080" max="3080" width="5" style="12" customWidth="1"/>
    <col min="3081" max="3081" width="3.28515625" style="12" customWidth="1"/>
    <col min="3082" max="3082" width="5" style="12" customWidth="1"/>
    <col min="3083" max="3085" width="3.28515625" style="12" customWidth="1"/>
    <col min="3086" max="3086" width="5" style="12" customWidth="1"/>
    <col min="3087" max="3087" width="3.28515625" style="12" customWidth="1"/>
    <col min="3088" max="3088" width="5" style="12" customWidth="1"/>
    <col min="3089" max="3090" width="3.28515625" style="12" customWidth="1"/>
    <col min="3091" max="3091" width="2.42578125" style="12" customWidth="1"/>
    <col min="3092" max="3092" width="7.5703125" style="12" customWidth="1"/>
    <col min="3093" max="3094" width="9.28515625" style="12"/>
    <col min="3095" max="3095" width="21.7109375" style="12" customWidth="1"/>
    <col min="3096" max="3329" width="9.28515625" style="12"/>
    <col min="3330" max="3330" width="13.5703125" style="12" customWidth="1"/>
    <col min="3331" max="3331" width="11" style="12" customWidth="1"/>
    <col min="3332" max="3332" width="3.28515625" style="12" customWidth="1"/>
    <col min="3333" max="3333" width="9.28515625" style="12"/>
    <col min="3334" max="3334" width="2.42578125" style="12" customWidth="1"/>
    <col min="3335" max="3335" width="3.28515625" style="12" customWidth="1"/>
    <col min="3336" max="3336" width="5" style="12" customWidth="1"/>
    <col min="3337" max="3337" width="3.28515625" style="12" customWidth="1"/>
    <col min="3338" max="3338" width="5" style="12" customWidth="1"/>
    <col min="3339" max="3341" width="3.28515625" style="12" customWidth="1"/>
    <col min="3342" max="3342" width="5" style="12" customWidth="1"/>
    <col min="3343" max="3343" width="3.28515625" style="12" customWidth="1"/>
    <col min="3344" max="3344" width="5" style="12" customWidth="1"/>
    <col min="3345" max="3346" width="3.28515625" style="12" customWidth="1"/>
    <col min="3347" max="3347" width="2.42578125" style="12" customWidth="1"/>
    <col min="3348" max="3348" width="7.5703125" style="12" customWidth="1"/>
    <col min="3349" max="3350" width="9.28515625" style="12"/>
    <col min="3351" max="3351" width="21.7109375" style="12" customWidth="1"/>
    <col min="3352" max="3585" width="9.28515625" style="12"/>
    <col min="3586" max="3586" width="13.5703125" style="12" customWidth="1"/>
    <col min="3587" max="3587" width="11" style="12" customWidth="1"/>
    <col min="3588" max="3588" width="3.28515625" style="12" customWidth="1"/>
    <col min="3589" max="3589" width="9.28515625" style="12"/>
    <col min="3590" max="3590" width="2.42578125" style="12" customWidth="1"/>
    <col min="3591" max="3591" width="3.28515625" style="12" customWidth="1"/>
    <col min="3592" max="3592" width="5" style="12" customWidth="1"/>
    <col min="3593" max="3593" width="3.28515625" style="12" customWidth="1"/>
    <col min="3594" max="3594" width="5" style="12" customWidth="1"/>
    <col min="3595" max="3597" width="3.28515625" style="12" customWidth="1"/>
    <col min="3598" max="3598" width="5" style="12" customWidth="1"/>
    <col min="3599" max="3599" width="3.28515625" style="12" customWidth="1"/>
    <col min="3600" max="3600" width="5" style="12" customWidth="1"/>
    <col min="3601" max="3602" width="3.28515625" style="12" customWidth="1"/>
    <col min="3603" max="3603" width="2.42578125" style="12" customWidth="1"/>
    <col min="3604" max="3604" width="7.5703125" style="12" customWidth="1"/>
    <col min="3605" max="3606" width="9.28515625" style="12"/>
    <col min="3607" max="3607" width="21.7109375" style="12" customWidth="1"/>
    <col min="3608" max="3841" width="9.28515625" style="12"/>
    <col min="3842" max="3842" width="13.5703125" style="12" customWidth="1"/>
    <col min="3843" max="3843" width="11" style="12" customWidth="1"/>
    <col min="3844" max="3844" width="3.28515625" style="12" customWidth="1"/>
    <col min="3845" max="3845" width="9.28515625" style="12"/>
    <col min="3846" max="3846" width="2.42578125" style="12" customWidth="1"/>
    <col min="3847" max="3847" width="3.28515625" style="12" customWidth="1"/>
    <col min="3848" max="3848" width="5" style="12" customWidth="1"/>
    <col min="3849" max="3849" width="3.28515625" style="12" customWidth="1"/>
    <col min="3850" max="3850" width="5" style="12" customWidth="1"/>
    <col min="3851" max="3853" width="3.28515625" style="12" customWidth="1"/>
    <col min="3854" max="3854" width="5" style="12" customWidth="1"/>
    <col min="3855" max="3855" width="3.28515625" style="12" customWidth="1"/>
    <col min="3856" max="3856" width="5" style="12" customWidth="1"/>
    <col min="3857" max="3858" width="3.28515625" style="12" customWidth="1"/>
    <col min="3859" max="3859" width="2.42578125" style="12" customWidth="1"/>
    <col min="3860" max="3860" width="7.5703125" style="12" customWidth="1"/>
    <col min="3861" max="3862" width="9.28515625" style="12"/>
    <col min="3863" max="3863" width="21.7109375" style="12" customWidth="1"/>
    <col min="3864" max="4097" width="9.28515625" style="12"/>
    <col min="4098" max="4098" width="13.5703125" style="12" customWidth="1"/>
    <col min="4099" max="4099" width="11" style="12" customWidth="1"/>
    <col min="4100" max="4100" width="3.28515625" style="12" customWidth="1"/>
    <col min="4101" max="4101" width="9.28515625" style="12"/>
    <col min="4102" max="4102" width="2.42578125" style="12" customWidth="1"/>
    <col min="4103" max="4103" width="3.28515625" style="12" customWidth="1"/>
    <col min="4104" max="4104" width="5" style="12" customWidth="1"/>
    <col min="4105" max="4105" width="3.28515625" style="12" customWidth="1"/>
    <col min="4106" max="4106" width="5" style="12" customWidth="1"/>
    <col min="4107" max="4109" width="3.28515625" style="12" customWidth="1"/>
    <col min="4110" max="4110" width="5" style="12" customWidth="1"/>
    <col min="4111" max="4111" width="3.28515625" style="12" customWidth="1"/>
    <col min="4112" max="4112" width="5" style="12" customWidth="1"/>
    <col min="4113" max="4114" width="3.28515625" style="12" customWidth="1"/>
    <col min="4115" max="4115" width="2.42578125" style="12" customWidth="1"/>
    <col min="4116" max="4116" width="7.5703125" style="12" customWidth="1"/>
    <col min="4117" max="4118" width="9.28515625" style="12"/>
    <col min="4119" max="4119" width="21.7109375" style="12" customWidth="1"/>
    <col min="4120" max="4353" width="9.28515625" style="12"/>
    <col min="4354" max="4354" width="13.5703125" style="12" customWidth="1"/>
    <col min="4355" max="4355" width="11" style="12" customWidth="1"/>
    <col min="4356" max="4356" width="3.28515625" style="12" customWidth="1"/>
    <col min="4357" max="4357" width="9.28515625" style="12"/>
    <col min="4358" max="4358" width="2.42578125" style="12" customWidth="1"/>
    <col min="4359" max="4359" width="3.28515625" style="12" customWidth="1"/>
    <col min="4360" max="4360" width="5" style="12" customWidth="1"/>
    <col min="4361" max="4361" width="3.28515625" style="12" customWidth="1"/>
    <col min="4362" max="4362" width="5" style="12" customWidth="1"/>
    <col min="4363" max="4365" width="3.28515625" style="12" customWidth="1"/>
    <col min="4366" max="4366" width="5" style="12" customWidth="1"/>
    <col min="4367" max="4367" width="3.28515625" style="12" customWidth="1"/>
    <col min="4368" max="4368" width="5" style="12" customWidth="1"/>
    <col min="4369" max="4370" width="3.28515625" style="12" customWidth="1"/>
    <col min="4371" max="4371" width="2.42578125" style="12" customWidth="1"/>
    <col min="4372" max="4372" width="7.5703125" style="12" customWidth="1"/>
    <col min="4373" max="4374" width="9.28515625" style="12"/>
    <col min="4375" max="4375" width="21.7109375" style="12" customWidth="1"/>
    <col min="4376" max="4609" width="9.28515625" style="12"/>
    <col min="4610" max="4610" width="13.5703125" style="12" customWidth="1"/>
    <col min="4611" max="4611" width="11" style="12" customWidth="1"/>
    <col min="4612" max="4612" width="3.28515625" style="12" customWidth="1"/>
    <col min="4613" max="4613" width="9.28515625" style="12"/>
    <col min="4614" max="4614" width="2.42578125" style="12" customWidth="1"/>
    <col min="4615" max="4615" width="3.28515625" style="12" customWidth="1"/>
    <col min="4616" max="4616" width="5" style="12" customWidth="1"/>
    <col min="4617" max="4617" width="3.28515625" style="12" customWidth="1"/>
    <col min="4618" max="4618" width="5" style="12" customWidth="1"/>
    <col min="4619" max="4621" width="3.28515625" style="12" customWidth="1"/>
    <col min="4622" max="4622" width="5" style="12" customWidth="1"/>
    <col min="4623" max="4623" width="3.28515625" style="12" customWidth="1"/>
    <col min="4624" max="4624" width="5" style="12" customWidth="1"/>
    <col min="4625" max="4626" width="3.28515625" style="12" customWidth="1"/>
    <col min="4627" max="4627" width="2.42578125" style="12" customWidth="1"/>
    <col min="4628" max="4628" width="7.5703125" style="12" customWidth="1"/>
    <col min="4629" max="4630" width="9.28515625" style="12"/>
    <col min="4631" max="4631" width="21.7109375" style="12" customWidth="1"/>
    <col min="4632" max="4865" width="9.28515625" style="12"/>
    <col min="4866" max="4866" width="13.5703125" style="12" customWidth="1"/>
    <col min="4867" max="4867" width="11" style="12" customWidth="1"/>
    <col min="4868" max="4868" width="3.28515625" style="12" customWidth="1"/>
    <col min="4869" max="4869" width="9.28515625" style="12"/>
    <col min="4870" max="4870" width="2.42578125" style="12" customWidth="1"/>
    <col min="4871" max="4871" width="3.28515625" style="12" customWidth="1"/>
    <col min="4872" max="4872" width="5" style="12" customWidth="1"/>
    <col min="4873" max="4873" width="3.28515625" style="12" customWidth="1"/>
    <col min="4874" max="4874" width="5" style="12" customWidth="1"/>
    <col min="4875" max="4877" width="3.28515625" style="12" customWidth="1"/>
    <col min="4878" max="4878" width="5" style="12" customWidth="1"/>
    <col min="4879" max="4879" width="3.28515625" style="12" customWidth="1"/>
    <col min="4880" max="4880" width="5" style="12" customWidth="1"/>
    <col min="4881" max="4882" width="3.28515625" style="12" customWidth="1"/>
    <col min="4883" max="4883" width="2.42578125" style="12" customWidth="1"/>
    <col min="4884" max="4884" width="7.5703125" style="12" customWidth="1"/>
    <col min="4885" max="4886" width="9.28515625" style="12"/>
    <col min="4887" max="4887" width="21.7109375" style="12" customWidth="1"/>
    <col min="4888" max="5121" width="9.28515625" style="12"/>
    <col min="5122" max="5122" width="13.5703125" style="12" customWidth="1"/>
    <col min="5123" max="5123" width="11" style="12" customWidth="1"/>
    <col min="5124" max="5124" width="3.28515625" style="12" customWidth="1"/>
    <col min="5125" max="5125" width="9.28515625" style="12"/>
    <col min="5126" max="5126" width="2.42578125" style="12" customWidth="1"/>
    <col min="5127" max="5127" width="3.28515625" style="12" customWidth="1"/>
    <col min="5128" max="5128" width="5" style="12" customWidth="1"/>
    <col min="5129" max="5129" width="3.28515625" style="12" customWidth="1"/>
    <col min="5130" max="5130" width="5" style="12" customWidth="1"/>
    <col min="5131" max="5133" width="3.28515625" style="12" customWidth="1"/>
    <col min="5134" max="5134" width="5" style="12" customWidth="1"/>
    <col min="5135" max="5135" width="3.28515625" style="12" customWidth="1"/>
    <col min="5136" max="5136" width="5" style="12" customWidth="1"/>
    <col min="5137" max="5138" width="3.28515625" style="12" customWidth="1"/>
    <col min="5139" max="5139" width="2.42578125" style="12" customWidth="1"/>
    <col min="5140" max="5140" width="7.5703125" style="12" customWidth="1"/>
    <col min="5141" max="5142" width="9.28515625" style="12"/>
    <col min="5143" max="5143" width="21.7109375" style="12" customWidth="1"/>
    <col min="5144" max="5377" width="9.28515625" style="12"/>
    <col min="5378" max="5378" width="13.5703125" style="12" customWidth="1"/>
    <col min="5379" max="5379" width="11" style="12" customWidth="1"/>
    <col min="5380" max="5380" width="3.28515625" style="12" customWidth="1"/>
    <col min="5381" max="5381" width="9.28515625" style="12"/>
    <col min="5382" max="5382" width="2.42578125" style="12" customWidth="1"/>
    <col min="5383" max="5383" width="3.28515625" style="12" customWidth="1"/>
    <col min="5384" max="5384" width="5" style="12" customWidth="1"/>
    <col min="5385" max="5385" width="3.28515625" style="12" customWidth="1"/>
    <col min="5386" max="5386" width="5" style="12" customWidth="1"/>
    <col min="5387" max="5389" width="3.28515625" style="12" customWidth="1"/>
    <col min="5390" max="5390" width="5" style="12" customWidth="1"/>
    <col min="5391" max="5391" width="3.28515625" style="12" customWidth="1"/>
    <col min="5392" max="5392" width="5" style="12" customWidth="1"/>
    <col min="5393" max="5394" width="3.28515625" style="12" customWidth="1"/>
    <col min="5395" max="5395" width="2.42578125" style="12" customWidth="1"/>
    <col min="5396" max="5396" width="7.5703125" style="12" customWidth="1"/>
    <col min="5397" max="5398" width="9.28515625" style="12"/>
    <col min="5399" max="5399" width="21.7109375" style="12" customWidth="1"/>
    <col min="5400" max="5633" width="9.28515625" style="12"/>
    <col min="5634" max="5634" width="13.5703125" style="12" customWidth="1"/>
    <col min="5635" max="5635" width="11" style="12" customWidth="1"/>
    <col min="5636" max="5636" width="3.28515625" style="12" customWidth="1"/>
    <col min="5637" max="5637" width="9.28515625" style="12"/>
    <col min="5638" max="5638" width="2.42578125" style="12" customWidth="1"/>
    <col min="5639" max="5639" width="3.28515625" style="12" customWidth="1"/>
    <col min="5640" max="5640" width="5" style="12" customWidth="1"/>
    <col min="5641" max="5641" width="3.28515625" style="12" customWidth="1"/>
    <col min="5642" max="5642" width="5" style="12" customWidth="1"/>
    <col min="5643" max="5645" width="3.28515625" style="12" customWidth="1"/>
    <col min="5646" max="5646" width="5" style="12" customWidth="1"/>
    <col min="5647" max="5647" width="3.28515625" style="12" customWidth="1"/>
    <col min="5648" max="5648" width="5" style="12" customWidth="1"/>
    <col min="5649" max="5650" width="3.28515625" style="12" customWidth="1"/>
    <col min="5651" max="5651" width="2.42578125" style="12" customWidth="1"/>
    <col min="5652" max="5652" width="7.5703125" style="12" customWidth="1"/>
    <col min="5653" max="5654" width="9.28515625" style="12"/>
    <col min="5655" max="5655" width="21.7109375" style="12" customWidth="1"/>
    <col min="5656" max="5889" width="9.28515625" style="12"/>
    <col min="5890" max="5890" width="13.5703125" style="12" customWidth="1"/>
    <col min="5891" max="5891" width="11" style="12" customWidth="1"/>
    <col min="5892" max="5892" width="3.28515625" style="12" customWidth="1"/>
    <col min="5893" max="5893" width="9.28515625" style="12"/>
    <col min="5894" max="5894" width="2.42578125" style="12" customWidth="1"/>
    <col min="5895" max="5895" width="3.28515625" style="12" customWidth="1"/>
    <col min="5896" max="5896" width="5" style="12" customWidth="1"/>
    <col min="5897" max="5897" width="3.28515625" style="12" customWidth="1"/>
    <col min="5898" max="5898" width="5" style="12" customWidth="1"/>
    <col min="5899" max="5901" width="3.28515625" style="12" customWidth="1"/>
    <col min="5902" max="5902" width="5" style="12" customWidth="1"/>
    <col min="5903" max="5903" width="3.28515625" style="12" customWidth="1"/>
    <col min="5904" max="5904" width="5" style="12" customWidth="1"/>
    <col min="5905" max="5906" width="3.28515625" style="12" customWidth="1"/>
    <col min="5907" max="5907" width="2.42578125" style="12" customWidth="1"/>
    <col min="5908" max="5908" width="7.5703125" style="12" customWidth="1"/>
    <col min="5909" max="5910" width="9.28515625" style="12"/>
    <col min="5911" max="5911" width="21.7109375" style="12" customWidth="1"/>
    <col min="5912" max="6145" width="9.28515625" style="12"/>
    <col min="6146" max="6146" width="13.5703125" style="12" customWidth="1"/>
    <col min="6147" max="6147" width="11" style="12" customWidth="1"/>
    <col min="6148" max="6148" width="3.28515625" style="12" customWidth="1"/>
    <col min="6149" max="6149" width="9.28515625" style="12"/>
    <col min="6150" max="6150" width="2.42578125" style="12" customWidth="1"/>
    <col min="6151" max="6151" width="3.28515625" style="12" customWidth="1"/>
    <col min="6152" max="6152" width="5" style="12" customWidth="1"/>
    <col min="6153" max="6153" width="3.28515625" style="12" customWidth="1"/>
    <col min="6154" max="6154" width="5" style="12" customWidth="1"/>
    <col min="6155" max="6157" width="3.28515625" style="12" customWidth="1"/>
    <col min="6158" max="6158" width="5" style="12" customWidth="1"/>
    <col min="6159" max="6159" width="3.28515625" style="12" customWidth="1"/>
    <col min="6160" max="6160" width="5" style="12" customWidth="1"/>
    <col min="6161" max="6162" width="3.28515625" style="12" customWidth="1"/>
    <col min="6163" max="6163" width="2.42578125" style="12" customWidth="1"/>
    <col min="6164" max="6164" width="7.5703125" style="12" customWidth="1"/>
    <col min="6165" max="6166" width="9.28515625" style="12"/>
    <col min="6167" max="6167" width="21.7109375" style="12" customWidth="1"/>
    <col min="6168" max="6401" width="9.28515625" style="12"/>
    <col min="6402" max="6402" width="13.5703125" style="12" customWidth="1"/>
    <col min="6403" max="6403" width="11" style="12" customWidth="1"/>
    <col min="6404" max="6404" width="3.28515625" style="12" customWidth="1"/>
    <col min="6405" max="6405" width="9.28515625" style="12"/>
    <col min="6406" max="6406" width="2.42578125" style="12" customWidth="1"/>
    <col min="6407" max="6407" width="3.28515625" style="12" customWidth="1"/>
    <col min="6408" max="6408" width="5" style="12" customWidth="1"/>
    <col min="6409" max="6409" width="3.28515625" style="12" customWidth="1"/>
    <col min="6410" max="6410" width="5" style="12" customWidth="1"/>
    <col min="6411" max="6413" width="3.28515625" style="12" customWidth="1"/>
    <col min="6414" max="6414" width="5" style="12" customWidth="1"/>
    <col min="6415" max="6415" width="3.28515625" style="12" customWidth="1"/>
    <col min="6416" max="6416" width="5" style="12" customWidth="1"/>
    <col min="6417" max="6418" width="3.28515625" style="12" customWidth="1"/>
    <col min="6419" max="6419" width="2.42578125" style="12" customWidth="1"/>
    <col min="6420" max="6420" width="7.5703125" style="12" customWidth="1"/>
    <col min="6421" max="6422" width="9.28515625" style="12"/>
    <col min="6423" max="6423" width="21.7109375" style="12" customWidth="1"/>
    <col min="6424" max="6657" width="9.28515625" style="12"/>
    <col min="6658" max="6658" width="13.5703125" style="12" customWidth="1"/>
    <col min="6659" max="6659" width="11" style="12" customWidth="1"/>
    <col min="6660" max="6660" width="3.28515625" style="12" customWidth="1"/>
    <col min="6661" max="6661" width="9.28515625" style="12"/>
    <col min="6662" max="6662" width="2.42578125" style="12" customWidth="1"/>
    <col min="6663" max="6663" width="3.28515625" style="12" customWidth="1"/>
    <col min="6664" max="6664" width="5" style="12" customWidth="1"/>
    <col min="6665" max="6665" width="3.28515625" style="12" customWidth="1"/>
    <col min="6666" max="6666" width="5" style="12" customWidth="1"/>
    <col min="6667" max="6669" width="3.28515625" style="12" customWidth="1"/>
    <col min="6670" max="6670" width="5" style="12" customWidth="1"/>
    <col min="6671" max="6671" width="3.28515625" style="12" customWidth="1"/>
    <col min="6672" max="6672" width="5" style="12" customWidth="1"/>
    <col min="6673" max="6674" width="3.28515625" style="12" customWidth="1"/>
    <col min="6675" max="6675" width="2.42578125" style="12" customWidth="1"/>
    <col min="6676" max="6676" width="7.5703125" style="12" customWidth="1"/>
    <col min="6677" max="6678" width="9.28515625" style="12"/>
    <col min="6679" max="6679" width="21.7109375" style="12" customWidth="1"/>
    <col min="6680" max="6913" width="9.28515625" style="12"/>
    <col min="6914" max="6914" width="13.5703125" style="12" customWidth="1"/>
    <col min="6915" max="6915" width="11" style="12" customWidth="1"/>
    <col min="6916" max="6916" width="3.28515625" style="12" customWidth="1"/>
    <col min="6917" max="6917" width="9.28515625" style="12"/>
    <col min="6918" max="6918" width="2.42578125" style="12" customWidth="1"/>
    <col min="6919" max="6919" width="3.28515625" style="12" customWidth="1"/>
    <col min="6920" max="6920" width="5" style="12" customWidth="1"/>
    <col min="6921" max="6921" width="3.28515625" style="12" customWidth="1"/>
    <col min="6922" max="6922" width="5" style="12" customWidth="1"/>
    <col min="6923" max="6925" width="3.28515625" style="12" customWidth="1"/>
    <col min="6926" max="6926" width="5" style="12" customWidth="1"/>
    <col min="6927" max="6927" width="3.28515625" style="12" customWidth="1"/>
    <col min="6928" max="6928" width="5" style="12" customWidth="1"/>
    <col min="6929" max="6930" width="3.28515625" style="12" customWidth="1"/>
    <col min="6931" max="6931" width="2.42578125" style="12" customWidth="1"/>
    <col min="6932" max="6932" width="7.5703125" style="12" customWidth="1"/>
    <col min="6933" max="6934" width="9.28515625" style="12"/>
    <col min="6935" max="6935" width="21.7109375" style="12" customWidth="1"/>
    <col min="6936" max="7169" width="9.28515625" style="12"/>
    <col min="7170" max="7170" width="13.5703125" style="12" customWidth="1"/>
    <col min="7171" max="7171" width="11" style="12" customWidth="1"/>
    <col min="7172" max="7172" width="3.28515625" style="12" customWidth="1"/>
    <col min="7173" max="7173" width="9.28515625" style="12"/>
    <col min="7174" max="7174" width="2.42578125" style="12" customWidth="1"/>
    <col min="7175" max="7175" width="3.28515625" style="12" customWidth="1"/>
    <col min="7176" max="7176" width="5" style="12" customWidth="1"/>
    <col min="7177" max="7177" width="3.28515625" style="12" customWidth="1"/>
    <col min="7178" max="7178" width="5" style="12" customWidth="1"/>
    <col min="7179" max="7181" width="3.28515625" style="12" customWidth="1"/>
    <col min="7182" max="7182" width="5" style="12" customWidth="1"/>
    <col min="7183" max="7183" width="3.28515625" style="12" customWidth="1"/>
    <col min="7184" max="7184" width="5" style="12" customWidth="1"/>
    <col min="7185" max="7186" width="3.28515625" style="12" customWidth="1"/>
    <col min="7187" max="7187" width="2.42578125" style="12" customWidth="1"/>
    <col min="7188" max="7188" width="7.5703125" style="12" customWidth="1"/>
    <col min="7189" max="7190" width="9.28515625" style="12"/>
    <col min="7191" max="7191" width="21.7109375" style="12" customWidth="1"/>
    <col min="7192" max="7425" width="9.28515625" style="12"/>
    <col min="7426" max="7426" width="13.5703125" style="12" customWidth="1"/>
    <col min="7427" max="7427" width="11" style="12" customWidth="1"/>
    <col min="7428" max="7428" width="3.28515625" style="12" customWidth="1"/>
    <col min="7429" max="7429" width="9.28515625" style="12"/>
    <col min="7430" max="7430" width="2.42578125" style="12" customWidth="1"/>
    <col min="7431" max="7431" width="3.28515625" style="12" customWidth="1"/>
    <col min="7432" max="7432" width="5" style="12" customWidth="1"/>
    <col min="7433" max="7433" width="3.28515625" style="12" customWidth="1"/>
    <col min="7434" max="7434" width="5" style="12" customWidth="1"/>
    <col min="7435" max="7437" width="3.28515625" style="12" customWidth="1"/>
    <col min="7438" max="7438" width="5" style="12" customWidth="1"/>
    <col min="7439" max="7439" width="3.28515625" style="12" customWidth="1"/>
    <col min="7440" max="7440" width="5" style="12" customWidth="1"/>
    <col min="7441" max="7442" width="3.28515625" style="12" customWidth="1"/>
    <col min="7443" max="7443" width="2.42578125" style="12" customWidth="1"/>
    <col min="7444" max="7444" width="7.5703125" style="12" customWidth="1"/>
    <col min="7445" max="7446" width="9.28515625" style="12"/>
    <col min="7447" max="7447" width="21.7109375" style="12" customWidth="1"/>
    <col min="7448" max="7681" width="9.28515625" style="12"/>
    <col min="7682" max="7682" width="13.5703125" style="12" customWidth="1"/>
    <col min="7683" max="7683" width="11" style="12" customWidth="1"/>
    <col min="7684" max="7684" width="3.28515625" style="12" customWidth="1"/>
    <col min="7685" max="7685" width="9.28515625" style="12"/>
    <col min="7686" max="7686" width="2.42578125" style="12" customWidth="1"/>
    <col min="7687" max="7687" width="3.28515625" style="12" customWidth="1"/>
    <col min="7688" max="7688" width="5" style="12" customWidth="1"/>
    <col min="7689" max="7689" width="3.28515625" style="12" customWidth="1"/>
    <col min="7690" max="7690" width="5" style="12" customWidth="1"/>
    <col min="7691" max="7693" width="3.28515625" style="12" customWidth="1"/>
    <col min="7694" max="7694" width="5" style="12" customWidth="1"/>
    <col min="7695" max="7695" width="3.28515625" style="12" customWidth="1"/>
    <col min="7696" max="7696" width="5" style="12" customWidth="1"/>
    <col min="7697" max="7698" width="3.28515625" style="12" customWidth="1"/>
    <col min="7699" max="7699" width="2.42578125" style="12" customWidth="1"/>
    <col min="7700" max="7700" width="7.5703125" style="12" customWidth="1"/>
    <col min="7701" max="7702" width="9.28515625" style="12"/>
    <col min="7703" max="7703" width="21.7109375" style="12" customWidth="1"/>
    <col min="7704" max="7937" width="9.28515625" style="12"/>
    <col min="7938" max="7938" width="13.5703125" style="12" customWidth="1"/>
    <col min="7939" max="7939" width="11" style="12" customWidth="1"/>
    <col min="7940" max="7940" width="3.28515625" style="12" customWidth="1"/>
    <col min="7941" max="7941" width="9.28515625" style="12"/>
    <col min="7942" max="7942" width="2.42578125" style="12" customWidth="1"/>
    <col min="7943" max="7943" width="3.28515625" style="12" customWidth="1"/>
    <col min="7944" max="7944" width="5" style="12" customWidth="1"/>
    <col min="7945" max="7945" width="3.28515625" style="12" customWidth="1"/>
    <col min="7946" max="7946" width="5" style="12" customWidth="1"/>
    <col min="7947" max="7949" width="3.28515625" style="12" customWidth="1"/>
    <col min="7950" max="7950" width="5" style="12" customWidth="1"/>
    <col min="7951" max="7951" width="3.28515625" style="12" customWidth="1"/>
    <col min="7952" max="7952" width="5" style="12" customWidth="1"/>
    <col min="7953" max="7954" width="3.28515625" style="12" customWidth="1"/>
    <col min="7955" max="7955" width="2.42578125" style="12" customWidth="1"/>
    <col min="7956" max="7956" width="7.5703125" style="12" customWidth="1"/>
    <col min="7957" max="7958" width="9.28515625" style="12"/>
    <col min="7959" max="7959" width="21.7109375" style="12" customWidth="1"/>
    <col min="7960" max="8193" width="9.28515625" style="12"/>
    <col min="8194" max="8194" width="13.5703125" style="12" customWidth="1"/>
    <col min="8195" max="8195" width="11" style="12" customWidth="1"/>
    <col min="8196" max="8196" width="3.28515625" style="12" customWidth="1"/>
    <col min="8197" max="8197" width="9.28515625" style="12"/>
    <col min="8198" max="8198" width="2.42578125" style="12" customWidth="1"/>
    <col min="8199" max="8199" width="3.28515625" style="12" customWidth="1"/>
    <col min="8200" max="8200" width="5" style="12" customWidth="1"/>
    <col min="8201" max="8201" width="3.28515625" style="12" customWidth="1"/>
    <col min="8202" max="8202" width="5" style="12" customWidth="1"/>
    <col min="8203" max="8205" width="3.28515625" style="12" customWidth="1"/>
    <col min="8206" max="8206" width="5" style="12" customWidth="1"/>
    <col min="8207" max="8207" width="3.28515625" style="12" customWidth="1"/>
    <col min="8208" max="8208" width="5" style="12" customWidth="1"/>
    <col min="8209" max="8210" width="3.28515625" style="12" customWidth="1"/>
    <col min="8211" max="8211" width="2.42578125" style="12" customWidth="1"/>
    <col min="8212" max="8212" width="7.5703125" style="12" customWidth="1"/>
    <col min="8213" max="8214" width="9.28515625" style="12"/>
    <col min="8215" max="8215" width="21.7109375" style="12" customWidth="1"/>
    <col min="8216" max="8449" width="9.28515625" style="12"/>
    <col min="8450" max="8450" width="13.5703125" style="12" customWidth="1"/>
    <col min="8451" max="8451" width="11" style="12" customWidth="1"/>
    <col min="8452" max="8452" width="3.28515625" style="12" customWidth="1"/>
    <col min="8453" max="8453" width="9.28515625" style="12"/>
    <col min="8454" max="8454" width="2.42578125" style="12" customWidth="1"/>
    <col min="8455" max="8455" width="3.28515625" style="12" customWidth="1"/>
    <col min="8456" max="8456" width="5" style="12" customWidth="1"/>
    <col min="8457" max="8457" width="3.28515625" style="12" customWidth="1"/>
    <col min="8458" max="8458" width="5" style="12" customWidth="1"/>
    <col min="8459" max="8461" width="3.28515625" style="12" customWidth="1"/>
    <col min="8462" max="8462" width="5" style="12" customWidth="1"/>
    <col min="8463" max="8463" width="3.28515625" style="12" customWidth="1"/>
    <col min="8464" max="8464" width="5" style="12" customWidth="1"/>
    <col min="8465" max="8466" width="3.28515625" style="12" customWidth="1"/>
    <col min="8467" max="8467" width="2.42578125" style="12" customWidth="1"/>
    <col min="8468" max="8468" width="7.5703125" style="12" customWidth="1"/>
    <col min="8469" max="8470" width="9.28515625" style="12"/>
    <col min="8471" max="8471" width="21.7109375" style="12" customWidth="1"/>
    <col min="8472" max="8705" width="9.28515625" style="12"/>
    <col min="8706" max="8706" width="13.5703125" style="12" customWidth="1"/>
    <col min="8707" max="8707" width="11" style="12" customWidth="1"/>
    <col min="8708" max="8708" width="3.28515625" style="12" customWidth="1"/>
    <col min="8709" max="8709" width="9.28515625" style="12"/>
    <col min="8710" max="8710" width="2.42578125" style="12" customWidth="1"/>
    <col min="8711" max="8711" width="3.28515625" style="12" customWidth="1"/>
    <col min="8712" max="8712" width="5" style="12" customWidth="1"/>
    <col min="8713" max="8713" width="3.28515625" style="12" customWidth="1"/>
    <col min="8714" max="8714" width="5" style="12" customWidth="1"/>
    <col min="8715" max="8717" width="3.28515625" style="12" customWidth="1"/>
    <col min="8718" max="8718" width="5" style="12" customWidth="1"/>
    <col min="8719" max="8719" width="3.28515625" style="12" customWidth="1"/>
    <col min="8720" max="8720" width="5" style="12" customWidth="1"/>
    <col min="8721" max="8722" width="3.28515625" style="12" customWidth="1"/>
    <col min="8723" max="8723" width="2.42578125" style="12" customWidth="1"/>
    <col min="8724" max="8724" width="7.5703125" style="12" customWidth="1"/>
    <col min="8725" max="8726" width="9.28515625" style="12"/>
    <col min="8727" max="8727" width="21.7109375" style="12" customWidth="1"/>
    <col min="8728" max="8961" width="9.28515625" style="12"/>
    <col min="8962" max="8962" width="13.5703125" style="12" customWidth="1"/>
    <col min="8963" max="8963" width="11" style="12" customWidth="1"/>
    <col min="8964" max="8964" width="3.28515625" style="12" customWidth="1"/>
    <col min="8965" max="8965" width="9.28515625" style="12"/>
    <col min="8966" max="8966" width="2.42578125" style="12" customWidth="1"/>
    <col min="8967" max="8967" width="3.28515625" style="12" customWidth="1"/>
    <col min="8968" max="8968" width="5" style="12" customWidth="1"/>
    <col min="8969" max="8969" width="3.28515625" style="12" customWidth="1"/>
    <col min="8970" max="8970" width="5" style="12" customWidth="1"/>
    <col min="8971" max="8973" width="3.28515625" style="12" customWidth="1"/>
    <col min="8974" max="8974" width="5" style="12" customWidth="1"/>
    <col min="8975" max="8975" width="3.28515625" style="12" customWidth="1"/>
    <col min="8976" max="8976" width="5" style="12" customWidth="1"/>
    <col min="8977" max="8978" width="3.28515625" style="12" customWidth="1"/>
    <col min="8979" max="8979" width="2.42578125" style="12" customWidth="1"/>
    <col min="8980" max="8980" width="7.5703125" style="12" customWidth="1"/>
    <col min="8981" max="8982" width="9.28515625" style="12"/>
    <col min="8983" max="8983" width="21.7109375" style="12" customWidth="1"/>
    <col min="8984" max="9217" width="9.28515625" style="12"/>
    <col min="9218" max="9218" width="13.5703125" style="12" customWidth="1"/>
    <col min="9219" max="9219" width="11" style="12" customWidth="1"/>
    <col min="9220" max="9220" width="3.28515625" style="12" customWidth="1"/>
    <col min="9221" max="9221" width="9.28515625" style="12"/>
    <col min="9222" max="9222" width="2.42578125" style="12" customWidth="1"/>
    <col min="9223" max="9223" width="3.28515625" style="12" customWidth="1"/>
    <col min="9224" max="9224" width="5" style="12" customWidth="1"/>
    <col min="9225" max="9225" width="3.28515625" style="12" customWidth="1"/>
    <col min="9226" max="9226" width="5" style="12" customWidth="1"/>
    <col min="9227" max="9229" width="3.28515625" style="12" customWidth="1"/>
    <col min="9230" max="9230" width="5" style="12" customWidth="1"/>
    <col min="9231" max="9231" width="3.28515625" style="12" customWidth="1"/>
    <col min="9232" max="9232" width="5" style="12" customWidth="1"/>
    <col min="9233" max="9234" width="3.28515625" style="12" customWidth="1"/>
    <col min="9235" max="9235" width="2.42578125" style="12" customWidth="1"/>
    <col min="9236" max="9236" width="7.5703125" style="12" customWidth="1"/>
    <col min="9237" max="9238" width="9.28515625" style="12"/>
    <col min="9239" max="9239" width="21.7109375" style="12" customWidth="1"/>
    <col min="9240" max="9473" width="9.28515625" style="12"/>
    <col min="9474" max="9474" width="13.5703125" style="12" customWidth="1"/>
    <col min="9475" max="9475" width="11" style="12" customWidth="1"/>
    <col min="9476" max="9476" width="3.28515625" style="12" customWidth="1"/>
    <col min="9477" max="9477" width="9.28515625" style="12"/>
    <col min="9478" max="9478" width="2.42578125" style="12" customWidth="1"/>
    <col min="9479" max="9479" width="3.28515625" style="12" customWidth="1"/>
    <col min="9480" max="9480" width="5" style="12" customWidth="1"/>
    <col min="9481" max="9481" width="3.28515625" style="12" customWidth="1"/>
    <col min="9482" max="9482" width="5" style="12" customWidth="1"/>
    <col min="9483" max="9485" width="3.28515625" style="12" customWidth="1"/>
    <col min="9486" max="9486" width="5" style="12" customWidth="1"/>
    <col min="9487" max="9487" width="3.28515625" style="12" customWidth="1"/>
    <col min="9488" max="9488" width="5" style="12" customWidth="1"/>
    <col min="9489" max="9490" width="3.28515625" style="12" customWidth="1"/>
    <col min="9491" max="9491" width="2.42578125" style="12" customWidth="1"/>
    <col min="9492" max="9492" width="7.5703125" style="12" customWidth="1"/>
    <col min="9493" max="9494" width="9.28515625" style="12"/>
    <col min="9495" max="9495" width="21.7109375" style="12" customWidth="1"/>
    <col min="9496" max="9729" width="9.28515625" style="12"/>
    <col min="9730" max="9730" width="13.5703125" style="12" customWidth="1"/>
    <col min="9731" max="9731" width="11" style="12" customWidth="1"/>
    <col min="9732" max="9732" width="3.28515625" style="12" customWidth="1"/>
    <col min="9733" max="9733" width="9.28515625" style="12"/>
    <col min="9734" max="9734" width="2.42578125" style="12" customWidth="1"/>
    <col min="9735" max="9735" width="3.28515625" style="12" customWidth="1"/>
    <col min="9736" max="9736" width="5" style="12" customWidth="1"/>
    <col min="9737" max="9737" width="3.28515625" style="12" customWidth="1"/>
    <col min="9738" max="9738" width="5" style="12" customWidth="1"/>
    <col min="9739" max="9741" width="3.28515625" style="12" customWidth="1"/>
    <col min="9742" max="9742" width="5" style="12" customWidth="1"/>
    <col min="9743" max="9743" width="3.28515625" style="12" customWidth="1"/>
    <col min="9744" max="9744" width="5" style="12" customWidth="1"/>
    <col min="9745" max="9746" width="3.28515625" style="12" customWidth="1"/>
    <col min="9747" max="9747" width="2.42578125" style="12" customWidth="1"/>
    <col min="9748" max="9748" width="7.5703125" style="12" customWidth="1"/>
    <col min="9749" max="9750" width="9.28515625" style="12"/>
    <col min="9751" max="9751" width="21.7109375" style="12" customWidth="1"/>
    <col min="9752" max="9985" width="9.28515625" style="12"/>
    <col min="9986" max="9986" width="13.5703125" style="12" customWidth="1"/>
    <col min="9987" max="9987" width="11" style="12" customWidth="1"/>
    <col min="9988" max="9988" width="3.28515625" style="12" customWidth="1"/>
    <col min="9989" max="9989" width="9.28515625" style="12"/>
    <col min="9990" max="9990" width="2.42578125" style="12" customWidth="1"/>
    <col min="9991" max="9991" width="3.28515625" style="12" customWidth="1"/>
    <col min="9992" max="9992" width="5" style="12" customWidth="1"/>
    <col min="9993" max="9993" width="3.28515625" style="12" customWidth="1"/>
    <col min="9994" max="9994" width="5" style="12" customWidth="1"/>
    <col min="9995" max="9997" width="3.28515625" style="12" customWidth="1"/>
    <col min="9998" max="9998" width="5" style="12" customWidth="1"/>
    <col min="9999" max="9999" width="3.28515625" style="12" customWidth="1"/>
    <col min="10000" max="10000" width="5" style="12" customWidth="1"/>
    <col min="10001" max="10002" width="3.28515625" style="12" customWidth="1"/>
    <col min="10003" max="10003" width="2.42578125" style="12" customWidth="1"/>
    <col min="10004" max="10004" width="7.5703125" style="12" customWidth="1"/>
    <col min="10005" max="10006" width="9.28515625" style="12"/>
    <col min="10007" max="10007" width="21.7109375" style="12" customWidth="1"/>
    <col min="10008" max="10241" width="9.28515625" style="12"/>
    <col min="10242" max="10242" width="13.5703125" style="12" customWidth="1"/>
    <col min="10243" max="10243" width="11" style="12" customWidth="1"/>
    <col min="10244" max="10244" width="3.28515625" style="12" customWidth="1"/>
    <col min="10245" max="10245" width="9.28515625" style="12"/>
    <col min="10246" max="10246" width="2.42578125" style="12" customWidth="1"/>
    <col min="10247" max="10247" width="3.28515625" style="12" customWidth="1"/>
    <col min="10248" max="10248" width="5" style="12" customWidth="1"/>
    <col min="10249" max="10249" width="3.28515625" style="12" customWidth="1"/>
    <col min="10250" max="10250" width="5" style="12" customWidth="1"/>
    <col min="10251" max="10253" width="3.28515625" style="12" customWidth="1"/>
    <col min="10254" max="10254" width="5" style="12" customWidth="1"/>
    <col min="10255" max="10255" width="3.28515625" style="12" customWidth="1"/>
    <col min="10256" max="10256" width="5" style="12" customWidth="1"/>
    <col min="10257" max="10258" width="3.28515625" style="12" customWidth="1"/>
    <col min="10259" max="10259" width="2.42578125" style="12" customWidth="1"/>
    <col min="10260" max="10260" width="7.5703125" style="12" customWidth="1"/>
    <col min="10261" max="10262" width="9.28515625" style="12"/>
    <col min="10263" max="10263" width="21.7109375" style="12" customWidth="1"/>
    <col min="10264" max="10497" width="9.28515625" style="12"/>
    <col min="10498" max="10498" width="13.5703125" style="12" customWidth="1"/>
    <col min="10499" max="10499" width="11" style="12" customWidth="1"/>
    <col min="10500" max="10500" width="3.28515625" style="12" customWidth="1"/>
    <col min="10501" max="10501" width="9.28515625" style="12"/>
    <col min="10502" max="10502" width="2.42578125" style="12" customWidth="1"/>
    <col min="10503" max="10503" width="3.28515625" style="12" customWidth="1"/>
    <col min="10504" max="10504" width="5" style="12" customWidth="1"/>
    <col min="10505" max="10505" width="3.28515625" style="12" customWidth="1"/>
    <col min="10506" max="10506" width="5" style="12" customWidth="1"/>
    <col min="10507" max="10509" width="3.28515625" style="12" customWidth="1"/>
    <col min="10510" max="10510" width="5" style="12" customWidth="1"/>
    <col min="10511" max="10511" width="3.28515625" style="12" customWidth="1"/>
    <col min="10512" max="10512" width="5" style="12" customWidth="1"/>
    <col min="10513" max="10514" width="3.28515625" style="12" customWidth="1"/>
    <col min="10515" max="10515" width="2.42578125" style="12" customWidth="1"/>
    <col min="10516" max="10516" width="7.5703125" style="12" customWidth="1"/>
    <col min="10517" max="10518" width="9.28515625" style="12"/>
    <col min="10519" max="10519" width="21.7109375" style="12" customWidth="1"/>
    <col min="10520" max="10753" width="9.28515625" style="12"/>
    <col min="10754" max="10754" width="13.5703125" style="12" customWidth="1"/>
    <col min="10755" max="10755" width="11" style="12" customWidth="1"/>
    <col min="10756" max="10756" width="3.28515625" style="12" customWidth="1"/>
    <col min="10757" max="10757" width="9.28515625" style="12"/>
    <col min="10758" max="10758" width="2.42578125" style="12" customWidth="1"/>
    <col min="10759" max="10759" width="3.28515625" style="12" customWidth="1"/>
    <col min="10760" max="10760" width="5" style="12" customWidth="1"/>
    <col min="10761" max="10761" width="3.28515625" style="12" customWidth="1"/>
    <col min="10762" max="10762" width="5" style="12" customWidth="1"/>
    <col min="10763" max="10765" width="3.28515625" style="12" customWidth="1"/>
    <col min="10766" max="10766" width="5" style="12" customWidth="1"/>
    <col min="10767" max="10767" width="3.28515625" style="12" customWidth="1"/>
    <col min="10768" max="10768" width="5" style="12" customWidth="1"/>
    <col min="10769" max="10770" width="3.28515625" style="12" customWidth="1"/>
    <col min="10771" max="10771" width="2.42578125" style="12" customWidth="1"/>
    <col min="10772" max="10772" width="7.5703125" style="12" customWidth="1"/>
    <col min="10773" max="10774" width="9.28515625" style="12"/>
    <col min="10775" max="10775" width="21.7109375" style="12" customWidth="1"/>
    <col min="10776" max="11009" width="9.28515625" style="12"/>
    <col min="11010" max="11010" width="13.5703125" style="12" customWidth="1"/>
    <col min="11011" max="11011" width="11" style="12" customWidth="1"/>
    <col min="11012" max="11012" width="3.28515625" style="12" customWidth="1"/>
    <col min="11013" max="11013" width="9.28515625" style="12"/>
    <col min="11014" max="11014" width="2.42578125" style="12" customWidth="1"/>
    <col min="11015" max="11015" width="3.28515625" style="12" customWidth="1"/>
    <col min="11016" max="11016" width="5" style="12" customWidth="1"/>
    <col min="11017" max="11017" width="3.28515625" style="12" customWidth="1"/>
    <col min="11018" max="11018" width="5" style="12" customWidth="1"/>
    <col min="11019" max="11021" width="3.28515625" style="12" customWidth="1"/>
    <col min="11022" max="11022" width="5" style="12" customWidth="1"/>
    <col min="11023" max="11023" width="3.28515625" style="12" customWidth="1"/>
    <col min="11024" max="11024" width="5" style="12" customWidth="1"/>
    <col min="11025" max="11026" width="3.28515625" style="12" customWidth="1"/>
    <col min="11027" max="11027" width="2.42578125" style="12" customWidth="1"/>
    <col min="11028" max="11028" width="7.5703125" style="12" customWidth="1"/>
    <col min="11029" max="11030" width="9.28515625" style="12"/>
    <col min="11031" max="11031" width="21.7109375" style="12" customWidth="1"/>
    <col min="11032" max="11265" width="9.28515625" style="12"/>
    <col min="11266" max="11266" width="13.5703125" style="12" customWidth="1"/>
    <col min="11267" max="11267" width="11" style="12" customWidth="1"/>
    <col min="11268" max="11268" width="3.28515625" style="12" customWidth="1"/>
    <col min="11269" max="11269" width="9.28515625" style="12"/>
    <col min="11270" max="11270" width="2.42578125" style="12" customWidth="1"/>
    <col min="11271" max="11271" width="3.28515625" style="12" customWidth="1"/>
    <col min="11272" max="11272" width="5" style="12" customWidth="1"/>
    <col min="11273" max="11273" width="3.28515625" style="12" customWidth="1"/>
    <col min="11274" max="11274" width="5" style="12" customWidth="1"/>
    <col min="11275" max="11277" width="3.28515625" style="12" customWidth="1"/>
    <col min="11278" max="11278" width="5" style="12" customWidth="1"/>
    <col min="11279" max="11279" width="3.28515625" style="12" customWidth="1"/>
    <col min="11280" max="11280" width="5" style="12" customWidth="1"/>
    <col min="11281" max="11282" width="3.28515625" style="12" customWidth="1"/>
    <col min="11283" max="11283" width="2.42578125" style="12" customWidth="1"/>
    <col min="11284" max="11284" width="7.5703125" style="12" customWidth="1"/>
    <col min="11285" max="11286" width="9.28515625" style="12"/>
    <col min="11287" max="11287" width="21.7109375" style="12" customWidth="1"/>
    <col min="11288" max="11521" width="9.28515625" style="12"/>
    <col min="11522" max="11522" width="13.5703125" style="12" customWidth="1"/>
    <col min="11523" max="11523" width="11" style="12" customWidth="1"/>
    <col min="11524" max="11524" width="3.28515625" style="12" customWidth="1"/>
    <col min="11525" max="11525" width="9.28515625" style="12"/>
    <col min="11526" max="11526" width="2.42578125" style="12" customWidth="1"/>
    <col min="11527" max="11527" width="3.28515625" style="12" customWidth="1"/>
    <col min="11528" max="11528" width="5" style="12" customWidth="1"/>
    <col min="11529" max="11529" width="3.28515625" style="12" customWidth="1"/>
    <col min="11530" max="11530" width="5" style="12" customWidth="1"/>
    <col min="11531" max="11533" width="3.28515625" style="12" customWidth="1"/>
    <col min="11534" max="11534" width="5" style="12" customWidth="1"/>
    <col min="11535" max="11535" width="3.28515625" style="12" customWidth="1"/>
    <col min="11536" max="11536" width="5" style="12" customWidth="1"/>
    <col min="11537" max="11538" width="3.28515625" style="12" customWidth="1"/>
    <col min="11539" max="11539" width="2.42578125" style="12" customWidth="1"/>
    <col min="11540" max="11540" width="7.5703125" style="12" customWidth="1"/>
    <col min="11541" max="11542" width="9.28515625" style="12"/>
    <col min="11543" max="11543" width="21.7109375" style="12" customWidth="1"/>
    <col min="11544" max="11777" width="9.28515625" style="12"/>
    <col min="11778" max="11778" width="13.5703125" style="12" customWidth="1"/>
    <col min="11779" max="11779" width="11" style="12" customWidth="1"/>
    <col min="11780" max="11780" width="3.28515625" style="12" customWidth="1"/>
    <col min="11781" max="11781" width="9.28515625" style="12"/>
    <col min="11782" max="11782" width="2.42578125" style="12" customWidth="1"/>
    <col min="11783" max="11783" width="3.28515625" style="12" customWidth="1"/>
    <col min="11784" max="11784" width="5" style="12" customWidth="1"/>
    <col min="11785" max="11785" width="3.28515625" style="12" customWidth="1"/>
    <col min="11786" max="11786" width="5" style="12" customWidth="1"/>
    <col min="11787" max="11789" width="3.28515625" style="12" customWidth="1"/>
    <col min="11790" max="11790" width="5" style="12" customWidth="1"/>
    <col min="11791" max="11791" width="3.28515625" style="12" customWidth="1"/>
    <col min="11792" max="11792" width="5" style="12" customWidth="1"/>
    <col min="11793" max="11794" width="3.28515625" style="12" customWidth="1"/>
    <col min="11795" max="11795" width="2.42578125" style="12" customWidth="1"/>
    <col min="11796" max="11796" width="7.5703125" style="12" customWidth="1"/>
    <col min="11797" max="11798" width="9.28515625" style="12"/>
    <col min="11799" max="11799" width="21.7109375" style="12" customWidth="1"/>
    <col min="11800" max="12033" width="9.28515625" style="12"/>
    <col min="12034" max="12034" width="13.5703125" style="12" customWidth="1"/>
    <col min="12035" max="12035" width="11" style="12" customWidth="1"/>
    <col min="12036" max="12036" width="3.28515625" style="12" customWidth="1"/>
    <col min="12037" max="12037" width="9.28515625" style="12"/>
    <col min="12038" max="12038" width="2.42578125" style="12" customWidth="1"/>
    <col min="12039" max="12039" width="3.28515625" style="12" customWidth="1"/>
    <col min="12040" max="12040" width="5" style="12" customWidth="1"/>
    <col min="12041" max="12041" width="3.28515625" style="12" customWidth="1"/>
    <col min="12042" max="12042" width="5" style="12" customWidth="1"/>
    <col min="12043" max="12045" width="3.28515625" style="12" customWidth="1"/>
    <col min="12046" max="12046" width="5" style="12" customWidth="1"/>
    <col min="12047" max="12047" width="3.28515625" style="12" customWidth="1"/>
    <col min="12048" max="12048" width="5" style="12" customWidth="1"/>
    <col min="12049" max="12050" width="3.28515625" style="12" customWidth="1"/>
    <col min="12051" max="12051" width="2.42578125" style="12" customWidth="1"/>
    <col min="12052" max="12052" width="7.5703125" style="12" customWidth="1"/>
    <col min="12053" max="12054" width="9.28515625" style="12"/>
    <col min="12055" max="12055" width="21.7109375" style="12" customWidth="1"/>
    <col min="12056" max="12289" width="9.28515625" style="12"/>
    <col min="12290" max="12290" width="13.5703125" style="12" customWidth="1"/>
    <col min="12291" max="12291" width="11" style="12" customWidth="1"/>
    <col min="12292" max="12292" width="3.28515625" style="12" customWidth="1"/>
    <col min="12293" max="12293" width="9.28515625" style="12"/>
    <col min="12294" max="12294" width="2.42578125" style="12" customWidth="1"/>
    <col min="12295" max="12295" width="3.28515625" style="12" customWidth="1"/>
    <col min="12296" max="12296" width="5" style="12" customWidth="1"/>
    <col min="12297" max="12297" width="3.28515625" style="12" customWidth="1"/>
    <col min="12298" max="12298" width="5" style="12" customWidth="1"/>
    <col min="12299" max="12301" width="3.28515625" style="12" customWidth="1"/>
    <col min="12302" max="12302" width="5" style="12" customWidth="1"/>
    <col min="12303" max="12303" width="3.28515625" style="12" customWidth="1"/>
    <col min="12304" max="12304" width="5" style="12" customWidth="1"/>
    <col min="12305" max="12306" width="3.28515625" style="12" customWidth="1"/>
    <col min="12307" max="12307" width="2.42578125" style="12" customWidth="1"/>
    <col min="12308" max="12308" width="7.5703125" style="12" customWidth="1"/>
    <col min="12309" max="12310" width="9.28515625" style="12"/>
    <col min="12311" max="12311" width="21.7109375" style="12" customWidth="1"/>
    <col min="12312" max="12545" width="9.28515625" style="12"/>
    <col min="12546" max="12546" width="13.5703125" style="12" customWidth="1"/>
    <col min="12547" max="12547" width="11" style="12" customWidth="1"/>
    <col min="12548" max="12548" width="3.28515625" style="12" customWidth="1"/>
    <col min="12549" max="12549" width="9.28515625" style="12"/>
    <col min="12550" max="12550" width="2.42578125" style="12" customWidth="1"/>
    <col min="12551" max="12551" width="3.28515625" style="12" customWidth="1"/>
    <col min="12552" max="12552" width="5" style="12" customWidth="1"/>
    <col min="12553" max="12553" width="3.28515625" style="12" customWidth="1"/>
    <col min="12554" max="12554" width="5" style="12" customWidth="1"/>
    <col min="12555" max="12557" width="3.28515625" style="12" customWidth="1"/>
    <col min="12558" max="12558" width="5" style="12" customWidth="1"/>
    <col min="12559" max="12559" width="3.28515625" style="12" customWidth="1"/>
    <col min="12560" max="12560" width="5" style="12" customWidth="1"/>
    <col min="12561" max="12562" width="3.28515625" style="12" customWidth="1"/>
    <col min="12563" max="12563" width="2.42578125" style="12" customWidth="1"/>
    <col min="12564" max="12564" width="7.5703125" style="12" customWidth="1"/>
    <col min="12565" max="12566" width="9.28515625" style="12"/>
    <col min="12567" max="12567" width="21.7109375" style="12" customWidth="1"/>
    <col min="12568" max="12801" width="9.28515625" style="12"/>
    <col min="12802" max="12802" width="13.5703125" style="12" customWidth="1"/>
    <col min="12803" max="12803" width="11" style="12" customWidth="1"/>
    <col min="12804" max="12804" width="3.28515625" style="12" customWidth="1"/>
    <col min="12805" max="12805" width="9.28515625" style="12"/>
    <col min="12806" max="12806" width="2.42578125" style="12" customWidth="1"/>
    <col min="12807" max="12807" width="3.28515625" style="12" customWidth="1"/>
    <col min="12808" max="12808" width="5" style="12" customWidth="1"/>
    <col min="12809" max="12809" width="3.28515625" style="12" customWidth="1"/>
    <col min="12810" max="12810" width="5" style="12" customWidth="1"/>
    <col min="12811" max="12813" width="3.28515625" style="12" customWidth="1"/>
    <col min="12814" max="12814" width="5" style="12" customWidth="1"/>
    <col min="12815" max="12815" width="3.28515625" style="12" customWidth="1"/>
    <col min="12816" max="12816" width="5" style="12" customWidth="1"/>
    <col min="12817" max="12818" width="3.28515625" style="12" customWidth="1"/>
    <col min="12819" max="12819" width="2.42578125" style="12" customWidth="1"/>
    <col min="12820" max="12820" width="7.5703125" style="12" customWidth="1"/>
    <col min="12821" max="12822" width="9.28515625" style="12"/>
    <col min="12823" max="12823" width="21.7109375" style="12" customWidth="1"/>
    <col min="12824" max="13057" width="9.28515625" style="12"/>
    <col min="13058" max="13058" width="13.5703125" style="12" customWidth="1"/>
    <col min="13059" max="13059" width="11" style="12" customWidth="1"/>
    <col min="13060" max="13060" width="3.28515625" style="12" customWidth="1"/>
    <col min="13061" max="13061" width="9.28515625" style="12"/>
    <col min="13062" max="13062" width="2.42578125" style="12" customWidth="1"/>
    <col min="13063" max="13063" width="3.28515625" style="12" customWidth="1"/>
    <col min="13064" max="13064" width="5" style="12" customWidth="1"/>
    <col min="13065" max="13065" width="3.28515625" style="12" customWidth="1"/>
    <col min="13066" max="13066" width="5" style="12" customWidth="1"/>
    <col min="13067" max="13069" width="3.28515625" style="12" customWidth="1"/>
    <col min="13070" max="13070" width="5" style="12" customWidth="1"/>
    <col min="13071" max="13071" width="3.28515625" style="12" customWidth="1"/>
    <col min="13072" max="13072" width="5" style="12" customWidth="1"/>
    <col min="13073" max="13074" width="3.28515625" style="12" customWidth="1"/>
    <col min="13075" max="13075" width="2.42578125" style="12" customWidth="1"/>
    <col min="13076" max="13076" width="7.5703125" style="12" customWidth="1"/>
    <col min="13077" max="13078" width="9.28515625" style="12"/>
    <col min="13079" max="13079" width="21.7109375" style="12" customWidth="1"/>
    <col min="13080" max="13313" width="9.28515625" style="12"/>
    <col min="13314" max="13314" width="13.5703125" style="12" customWidth="1"/>
    <col min="13315" max="13315" width="11" style="12" customWidth="1"/>
    <col min="13316" max="13316" width="3.28515625" style="12" customWidth="1"/>
    <col min="13317" max="13317" width="9.28515625" style="12"/>
    <col min="13318" max="13318" width="2.42578125" style="12" customWidth="1"/>
    <col min="13319" max="13319" width="3.28515625" style="12" customWidth="1"/>
    <col min="13320" max="13320" width="5" style="12" customWidth="1"/>
    <col min="13321" max="13321" width="3.28515625" style="12" customWidth="1"/>
    <col min="13322" max="13322" width="5" style="12" customWidth="1"/>
    <col min="13323" max="13325" width="3.28515625" style="12" customWidth="1"/>
    <col min="13326" max="13326" width="5" style="12" customWidth="1"/>
    <col min="13327" max="13327" width="3.28515625" style="12" customWidth="1"/>
    <col min="13328" max="13328" width="5" style="12" customWidth="1"/>
    <col min="13329" max="13330" width="3.28515625" style="12" customWidth="1"/>
    <col min="13331" max="13331" width="2.42578125" style="12" customWidth="1"/>
    <col min="13332" max="13332" width="7.5703125" style="12" customWidth="1"/>
    <col min="13333" max="13334" width="9.28515625" style="12"/>
    <col min="13335" max="13335" width="21.7109375" style="12" customWidth="1"/>
    <col min="13336" max="13569" width="9.28515625" style="12"/>
    <col min="13570" max="13570" width="13.5703125" style="12" customWidth="1"/>
    <col min="13571" max="13571" width="11" style="12" customWidth="1"/>
    <col min="13572" max="13572" width="3.28515625" style="12" customWidth="1"/>
    <col min="13573" max="13573" width="9.28515625" style="12"/>
    <col min="13574" max="13574" width="2.42578125" style="12" customWidth="1"/>
    <col min="13575" max="13575" width="3.28515625" style="12" customWidth="1"/>
    <col min="13576" max="13576" width="5" style="12" customWidth="1"/>
    <col min="13577" max="13577" width="3.28515625" style="12" customWidth="1"/>
    <col min="13578" max="13578" width="5" style="12" customWidth="1"/>
    <col min="13579" max="13581" width="3.28515625" style="12" customWidth="1"/>
    <col min="13582" max="13582" width="5" style="12" customWidth="1"/>
    <col min="13583" max="13583" width="3.28515625" style="12" customWidth="1"/>
    <col min="13584" max="13584" width="5" style="12" customWidth="1"/>
    <col min="13585" max="13586" width="3.28515625" style="12" customWidth="1"/>
    <col min="13587" max="13587" width="2.42578125" style="12" customWidth="1"/>
    <col min="13588" max="13588" width="7.5703125" style="12" customWidth="1"/>
    <col min="13589" max="13590" width="9.28515625" style="12"/>
    <col min="13591" max="13591" width="21.7109375" style="12" customWidth="1"/>
    <col min="13592" max="13825" width="9.28515625" style="12"/>
    <col min="13826" max="13826" width="13.5703125" style="12" customWidth="1"/>
    <col min="13827" max="13827" width="11" style="12" customWidth="1"/>
    <col min="13828" max="13828" width="3.28515625" style="12" customWidth="1"/>
    <col min="13829" max="13829" width="9.28515625" style="12"/>
    <col min="13830" max="13830" width="2.42578125" style="12" customWidth="1"/>
    <col min="13831" max="13831" width="3.28515625" style="12" customWidth="1"/>
    <col min="13832" max="13832" width="5" style="12" customWidth="1"/>
    <col min="13833" max="13833" width="3.28515625" style="12" customWidth="1"/>
    <col min="13834" max="13834" width="5" style="12" customWidth="1"/>
    <col min="13835" max="13837" width="3.28515625" style="12" customWidth="1"/>
    <col min="13838" max="13838" width="5" style="12" customWidth="1"/>
    <col min="13839" max="13839" width="3.28515625" style="12" customWidth="1"/>
    <col min="13840" max="13840" width="5" style="12" customWidth="1"/>
    <col min="13841" max="13842" width="3.28515625" style="12" customWidth="1"/>
    <col min="13843" max="13843" width="2.42578125" style="12" customWidth="1"/>
    <col min="13844" max="13844" width="7.5703125" style="12" customWidth="1"/>
    <col min="13845" max="13846" width="9.28515625" style="12"/>
    <col min="13847" max="13847" width="21.7109375" style="12" customWidth="1"/>
    <col min="13848" max="14081" width="9.28515625" style="12"/>
    <col min="14082" max="14082" width="13.5703125" style="12" customWidth="1"/>
    <col min="14083" max="14083" width="11" style="12" customWidth="1"/>
    <col min="14084" max="14084" width="3.28515625" style="12" customWidth="1"/>
    <col min="14085" max="14085" width="9.28515625" style="12"/>
    <col min="14086" max="14086" width="2.42578125" style="12" customWidth="1"/>
    <col min="14087" max="14087" width="3.28515625" style="12" customWidth="1"/>
    <col min="14088" max="14088" width="5" style="12" customWidth="1"/>
    <col min="14089" max="14089" width="3.28515625" style="12" customWidth="1"/>
    <col min="14090" max="14090" width="5" style="12" customWidth="1"/>
    <col min="14091" max="14093" width="3.28515625" style="12" customWidth="1"/>
    <col min="14094" max="14094" width="5" style="12" customWidth="1"/>
    <col min="14095" max="14095" width="3.28515625" style="12" customWidth="1"/>
    <col min="14096" max="14096" width="5" style="12" customWidth="1"/>
    <col min="14097" max="14098" width="3.28515625" style="12" customWidth="1"/>
    <col min="14099" max="14099" width="2.42578125" style="12" customWidth="1"/>
    <col min="14100" max="14100" width="7.5703125" style="12" customWidth="1"/>
    <col min="14101" max="14102" width="9.28515625" style="12"/>
    <col min="14103" max="14103" width="21.7109375" style="12" customWidth="1"/>
    <col min="14104" max="14337" width="9.28515625" style="12"/>
    <col min="14338" max="14338" width="13.5703125" style="12" customWidth="1"/>
    <col min="14339" max="14339" width="11" style="12" customWidth="1"/>
    <col min="14340" max="14340" width="3.28515625" style="12" customWidth="1"/>
    <col min="14341" max="14341" width="9.28515625" style="12"/>
    <col min="14342" max="14342" width="2.42578125" style="12" customWidth="1"/>
    <col min="14343" max="14343" width="3.28515625" style="12" customWidth="1"/>
    <col min="14344" max="14344" width="5" style="12" customWidth="1"/>
    <col min="14345" max="14345" width="3.28515625" style="12" customWidth="1"/>
    <col min="14346" max="14346" width="5" style="12" customWidth="1"/>
    <col min="14347" max="14349" width="3.28515625" style="12" customWidth="1"/>
    <col min="14350" max="14350" width="5" style="12" customWidth="1"/>
    <col min="14351" max="14351" width="3.28515625" style="12" customWidth="1"/>
    <col min="14352" max="14352" width="5" style="12" customWidth="1"/>
    <col min="14353" max="14354" width="3.28515625" style="12" customWidth="1"/>
    <col min="14355" max="14355" width="2.42578125" style="12" customWidth="1"/>
    <col min="14356" max="14356" width="7.5703125" style="12" customWidth="1"/>
    <col min="14357" max="14358" width="9.28515625" style="12"/>
    <col min="14359" max="14359" width="21.7109375" style="12" customWidth="1"/>
    <col min="14360" max="14593" width="9.28515625" style="12"/>
    <col min="14594" max="14594" width="13.5703125" style="12" customWidth="1"/>
    <col min="14595" max="14595" width="11" style="12" customWidth="1"/>
    <col min="14596" max="14596" width="3.28515625" style="12" customWidth="1"/>
    <col min="14597" max="14597" width="9.28515625" style="12"/>
    <col min="14598" max="14598" width="2.42578125" style="12" customWidth="1"/>
    <col min="14599" max="14599" width="3.28515625" style="12" customWidth="1"/>
    <col min="14600" max="14600" width="5" style="12" customWidth="1"/>
    <col min="14601" max="14601" width="3.28515625" style="12" customWidth="1"/>
    <col min="14602" max="14602" width="5" style="12" customWidth="1"/>
    <col min="14603" max="14605" width="3.28515625" style="12" customWidth="1"/>
    <col min="14606" max="14606" width="5" style="12" customWidth="1"/>
    <col min="14607" max="14607" width="3.28515625" style="12" customWidth="1"/>
    <col min="14608" max="14608" width="5" style="12" customWidth="1"/>
    <col min="14609" max="14610" width="3.28515625" style="12" customWidth="1"/>
    <col min="14611" max="14611" width="2.42578125" style="12" customWidth="1"/>
    <col min="14612" max="14612" width="7.5703125" style="12" customWidth="1"/>
    <col min="14613" max="14614" width="9.28515625" style="12"/>
    <col min="14615" max="14615" width="21.7109375" style="12" customWidth="1"/>
    <col min="14616" max="14849" width="9.28515625" style="12"/>
    <col min="14850" max="14850" width="13.5703125" style="12" customWidth="1"/>
    <col min="14851" max="14851" width="11" style="12" customWidth="1"/>
    <col min="14852" max="14852" width="3.28515625" style="12" customWidth="1"/>
    <col min="14853" max="14853" width="9.28515625" style="12"/>
    <col min="14854" max="14854" width="2.42578125" style="12" customWidth="1"/>
    <col min="14855" max="14855" width="3.28515625" style="12" customWidth="1"/>
    <col min="14856" max="14856" width="5" style="12" customWidth="1"/>
    <col min="14857" max="14857" width="3.28515625" style="12" customWidth="1"/>
    <col min="14858" max="14858" width="5" style="12" customWidth="1"/>
    <col min="14859" max="14861" width="3.28515625" style="12" customWidth="1"/>
    <col min="14862" max="14862" width="5" style="12" customWidth="1"/>
    <col min="14863" max="14863" width="3.28515625" style="12" customWidth="1"/>
    <col min="14864" max="14864" width="5" style="12" customWidth="1"/>
    <col min="14865" max="14866" width="3.28515625" style="12" customWidth="1"/>
    <col min="14867" max="14867" width="2.42578125" style="12" customWidth="1"/>
    <col min="14868" max="14868" width="7.5703125" style="12" customWidth="1"/>
    <col min="14869" max="14870" width="9.28515625" style="12"/>
    <col min="14871" max="14871" width="21.7109375" style="12" customWidth="1"/>
    <col min="14872" max="15105" width="9.28515625" style="12"/>
    <col min="15106" max="15106" width="13.5703125" style="12" customWidth="1"/>
    <col min="15107" max="15107" width="11" style="12" customWidth="1"/>
    <col min="15108" max="15108" width="3.28515625" style="12" customWidth="1"/>
    <col min="15109" max="15109" width="9.28515625" style="12"/>
    <col min="15110" max="15110" width="2.42578125" style="12" customWidth="1"/>
    <col min="15111" max="15111" width="3.28515625" style="12" customWidth="1"/>
    <col min="15112" max="15112" width="5" style="12" customWidth="1"/>
    <col min="15113" max="15113" width="3.28515625" style="12" customWidth="1"/>
    <col min="15114" max="15114" width="5" style="12" customWidth="1"/>
    <col min="15115" max="15117" width="3.28515625" style="12" customWidth="1"/>
    <col min="15118" max="15118" width="5" style="12" customWidth="1"/>
    <col min="15119" max="15119" width="3.28515625" style="12" customWidth="1"/>
    <col min="15120" max="15120" width="5" style="12" customWidth="1"/>
    <col min="15121" max="15122" width="3.28515625" style="12" customWidth="1"/>
    <col min="15123" max="15123" width="2.42578125" style="12" customWidth="1"/>
    <col min="15124" max="15124" width="7.5703125" style="12" customWidth="1"/>
    <col min="15125" max="15126" width="9.28515625" style="12"/>
    <col min="15127" max="15127" width="21.7109375" style="12" customWidth="1"/>
    <col min="15128" max="15361" width="9.28515625" style="12"/>
    <col min="15362" max="15362" width="13.5703125" style="12" customWidth="1"/>
    <col min="15363" max="15363" width="11" style="12" customWidth="1"/>
    <col min="15364" max="15364" width="3.28515625" style="12" customWidth="1"/>
    <col min="15365" max="15365" width="9.28515625" style="12"/>
    <col min="15366" max="15366" width="2.42578125" style="12" customWidth="1"/>
    <col min="15367" max="15367" width="3.28515625" style="12" customWidth="1"/>
    <col min="15368" max="15368" width="5" style="12" customWidth="1"/>
    <col min="15369" max="15369" width="3.28515625" style="12" customWidth="1"/>
    <col min="15370" max="15370" width="5" style="12" customWidth="1"/>
    <col min="15371" max="15373" width="3.28515625" style="12" customWidth="1"/>
    <col min="15374" max="15374" width="5" style="12" customWidth="1"/>
    <col min="15375" max="15375" width="3.28515625" style="12" customWidth="1"/>
    <col min="15376" max="15376" width="5" style="12" customWidth="1"/>
    <col min="15377" max="15378" width="3.28515625" style="12" customWidth="1"/>
    <col min="15379" max="15379" width="2.42578125" style="12" customWidth="1"/>
    <col min="15380" max="15380" width="7.5703125" style="12" customWidth="1"/>
    <col min="15381" max="15382" width="9.28515625" style="12"/>
    <col min="15383" max="15383" width="21.7109375" style="12" customWidth="1"/>
    <col min="15384" max="15617" width="9.28515625" style="12"/>
    <col min="15618" max="15618" width="13.5703125" style="12" customWidth="1"/>
    <col min="15619" max="15619" width="11" style="12" customWidth="1"/>
    <col min="15620" max="15620" width="3.28515625" style="12" customWidth="1"/>
    <col min="15621" max="15621" width="9.28515625" style="12"/>
    <col min="15622" max="15622" width="2.42578125" style="12" customWidth="1"/>
    <col min="15623" max="15623" width="3.28515625" style="12" customWidth="1"/>
    <col min="15624" max="15624" width="5" style="12" customWidth="1"/>
    <col min="15625" max="15625" width="3.28515625" style="12" customWidth="1"/>
    <col min="15626" max="15626" width="5" style="12" customWidth="1"/>
    <col min="15627" max="15629" width="3.28515625" style="12" customWidth="1"/>
    <col min="15630" max="15630" width="5" style="12" customWidth="1"/>
    <col min="15631" max="15631" width="3.28515625" style="12" customWidth="1"/>
    <col min="15632" max="15632" width="5" style="12" customWidth="1"/>
    <col min="15633" max="15634" width="3.28515625" style="12" customWidth="1"/>
    <col min="15635" max="15635" width="2.42578125" style="12" customWidth="1"/>
    <col min="15636" max="15636" width="7.5703125" style="12" customWidth="1"/>
    <col min="15637" max="15638" width="9.28515625" style="12"/>
    <col min="15639" max="15639" width="21.7109375" style="12" customWidth="1"/>
    <col min="15640" max="15873" width="9.28515625" style="12"/>
    <col min="15874" max="15874" width="13.5703125" style="12" customWidth="1"/>
    <col min="15875" max="15875" width="11" style="12" customWidth="1"/>
    <col min="15876" max="15876" width="3.28515625" style="12" customWidth="1"/>
    <col min="15877" max="15877" width="9.28515625" style="12"/>
    <col min="15878" max="15878" width="2.42578125" style="12" customWidth="1"/>
    <col min="15879" max="15879" width="3.28515625" style="12" customWidth="1"/>
    <col min="15880" max="15880" width="5" style="12" customWidth="1"/>
    <col min="15881" max="15881" width="3.28515625" style="12" customWidth="1"/>
    <col min="15882" max="15882" width="5" style="12" customWidth="1"/>
    <col min="15883" max="15885" width="3.28515625" style="12" customWidth="1"/>
    <col min="15886" max="15886" width="5" style="12" customWidth="1"/>
    <col min="15887" max="15887" width="3.28515625" style="12" customWidth="1"/>
    <col min="15888" max="15888" width="5" style="12" customWidth="1"/>
    <col min="15889" max="15890" width="3.28515625" style="12" customWidth="1"/>
    <col min="15891" max="15891" width="2.42578125" style="12" customWidth="1"/>
    <col min="15892" max="15892" width="7.5703125" style="12" customWidth="1"/>
    <col min="15893" max="15894" width="9.28515625" style="12"/>
    <col min="15895" max="15895" width="21.7109375" style="12" customWidth="1"/>
    <col min="15896" max="16129" width="9.28515625" style="12"/>
    <col min="16130" max="16130" width="13.5703125" style="12" customWidth="1"/>
    <col min="16131" max="16131" width="11" style="12" customWidth="1"/>
    <col min="16132" max="16132" width="3.28515625" style="12" customWidth="1"/>
    <col min="16133" max="16133" width="9.28515625" style="12"/>
    <col min="16134" max="16134" width="2.42578125" style="12" customWidth="1"/>
    <col min="16135" max="16135" width="3.28515625" style="12" customWidth="1"/>
    <col min="16136" max="16136" width="5" style="12" customWidth="1"/>
    <col min="16137" max="16137" width="3.28515625" style="12" customWidth="1"/>
    <col min="16138" max="16138" width="5" style="12" customWidth="1"/>
    <col min="16139" max="16141" width="3.28515625" style="12" customWidth="1"/>
    <col min="16142" max="16142" width="5" style="12" customWidth="1"/>
    <col min="16143" max="16143" width="3.28515625" style="12" customWidth="1"/>
    <col min="16144" max="16144" width="5" style="12" customWidth="1"/>
    <col min="16145" max="16146" width="3.28515625" style="12" customWidth="1"/>
    <col min="16147" max="16147" width="2.42578125" style="12" customWidth="1"/>
    <col min="16148" max="16148" width="7.5703125" style="12" customWidth="1"/>
    <col min="16149" max="16150" width="9.28515625" style="12"/>
    <col min="16151" max="16151" width="21.7109375" style="12" customWidth="1"/>
    <col min="16152" max="16384" width="9.28515625" style="12"/>
  </cols>
  <sheetData>
    <row r="1" spans="1:23" ht="30.75">
      <c r="A1" s="1474" t="s">
        <v>45</v>
      </c>
      <c r="B1" s="1474"/>
      <c r="C1" s="1474"/>
      <c r="D1" s="1474"/>
      <c r="E1" s="1474"/>
      <c r="F1" s="1474"/>
      <c r="G1" s="1474"/>
      <c r="H1" s="1474"/>
      <c r="I1" s="1474"/>
      <c r="J1" s="1474"/>
      <c r="K1" s="1474"/>
      <c r="L1" s="1474"/>
      <c r="M1" s="1474"/>
      <c r="N1" s="1474"/>
      <c r="O1" s="1474"/>
      <c r="P1" s="1474"/>
      <c r="Q1" s="1474"/>
      <c r="R1" s="1474"/>
      <c r="S1" s="1474"/>
      <c r="T1" s="10"/>
      <c r="W1" s="11"/>
    </row>
    <row r="2" spans="1:23" ht="24.75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W2" s="13"/>
    </row>
    <row r="3" spans="1:23" ht="21.75" customHeight="1" thickTop="1" thickBot="1">
      <c r="A3" s="13" t="s">
        <v>46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345" t="s">
        <v>595</v>
      </c>
      <c r="V3" s="346" t="s">
        <v>25</v>
      </c>
      <c r="W3" s="13"/>
    </row>
    <row r="4" spans="1:23" thickTop="1">
      <c r="A4" s="14" t="s">
        <v>47</v>
      </c>
      <c r="B4" s="13" t="s">
        <v>48</v>
      </c>
      <c r="C4" s="13"/>
      <c r="D4" s="13"/>
      <c r="E4" s="13"/>
      <c r="F4" s="13"/>
      <c r="G4" s="13"/>
      <c r="H4" s="13"/>
      <c r="I4" s="13"/>
      <c r="J4" s="13"/>
      <c r="K4" s="13"/>
      <c r="L4" s="15" t="s">
        <v>49</v>
      </c>
      <c r="M4" s="13"/>
      <c r="N4" s="13"/>
      <c r="O4" s="13"/>
      <c r="P4" s="15" t="s">
        <v>50</v>
      </c>
      <c r="Q4" s="13"/>
      <c r="R4" s="13"/>
      <c r="S4" s="13" t="s">
        <v>51</v>
      </c>
      <c r="T4" s="13"/>
      <c r="U4" s="347" t="s">
        <v>596</v>
      </c>
      <c r="V4" s="347">
        <v>1.3056000000000001</v>
      </c>
      <c r="W4" s="13"/>
    </row>
    <row r="5" spans="1:23" ht="23.25">
      <c r="A5" s="14" t="s">
        <v>47</v>
      </c>
      <c r="B5" s="1475" t="s">
        <v>52</v>
      </c>
      <c r="C5" s="1476" t="s">
        <v>49</v>
      </c>
      <c r="D5" s="1476" t="s">
        <v>53</v>
      </c>
      <c r="E5" s="1477" t="s">
        <v>21</v>
      </c>
      <c r="F5" s="13"/>
      <c r="G5" s="16" t="s">
        <v>54</v>
      </c>
      <c r="H5" s="17" t="s">
        <v>53</v>
      </c>
      <c r="I5" s="17" t="s">
        <v>21</v>
      </c>
      <c r="J5" s="17" t="s">
        <v>55</v>
      </c>
      <c r="K5" s="18" t="s">
        <v>56</v>
      </c>
      <c r="L5" s="19"/>
      <c r="M5" s="16" t="s">
        <v>54</v>
      </c>
      <c r="N5" s="17" t="s">
        <v>50</v>
      </c>
      <c r="O5" s="17" t="s">
        <v>21</v>
      </c>
      <c r="P5" s="17" t="s">
        <v>57</v>
      </c>
      <c r="Q5" s="18" t="s">
        <v>56</v>
      </c>
      <c r="R5" s="13"/>
      <c r="S5" s="13"/>
      <c r="T5" s="13"/>
      <c r="U5" s="348">
        <v>1</v>
      </c>
      <c r="V5" s="348">
        <v>1.3032999999999999</v>
      </c>
      <c r="W5" s="13"/>
    </row>
    <row r="6" spans="1:23" ht="23.25">
      <c r="A6" s="14"/>
      <c r="B6" s="1475"/>
      <c r="C6" s="1476"/>
      <c r="D6" s="1476"/>
      <c r="E6" s="1476"/>
      <c r="F6" s="13"/>
      <c r="G6" s="14"/>
      <c r="H6" s="14"/>
      <c r="I6" s="14" t="s">
        <v>54</v>
      </c>
      <c r="J6" s="20" t="s">
        <v>58</v>
      </c>
      <c r="K6" s="14"/>
      <c r="L6" s="20" t="s">
        <v>21</v>
      </c>
      <c r="M6" s="14"/>
      <c r="N6" s="20" t="s">
        <v>57</v>
      </c>
      <c r="O6" s="21" t="s">
        <v>56</v>
      </c>
      <c r="P6" s="14"/>
      <c r="Q6" s="14"/>
      <c r="R6" s="14"/>
      <c r="S6" s="13"/>
      <c r="T6" s="13"/>
      <c r="U6" s="348">
        <v>2</v>
      </c>
      <c r="V6" s="348">
        <v>1.3017000000000001</v>
      </c>
      <c r="W6" s="13"/>
    </row>
    <row r="7" spans="1:23" ht="23.25">
      <c r="A7" s="14"/>
      <c r="B7" s="22"/>
      <c r="C7" s="23"/>
      <c r="D7" s="23"/>
      <c r="E7" s="23"/>
      <c r="F7" s="13"/>
      <c r="G7" s="14"/>
      <c r="H7" s="14"/>
      <c r="I7" s="14"/>
      <c r="J7" s="20"/>
      <c r="K7" s="14"/>
      <c r="L7" s="20"/>
      <c r="M7" s="14"/>
      <c r="N7" s="20"/>
      <c r="O7" s="21"/>
      <c r="P7" s="14"/>
      <c r="Q7" s="14"/>
      <c r="R7" s="14"/>
      <c r="S7" s="13"/>
      <c r="T7" s="13"/>
      <c r="U7" s="348">
        <v>5</v>
      </c>
      <c r="V7" s="348">
        <v>1.2985</v>
      </c>
      <c r="W7" s="13"/>
    </row>
    <row r="8" spans="1:23" ht="23.25">
      <c r="A8" s="14" t="s">
        <v>24</v>
      </c>
      <c r="B8" s="13" t="s">
        <v>59</v>
      </c>
      <c r="C8" s="13"/>
      <c r="D8" s="13"/>
      <c r="E8" s="13"/>
      <c r="F8" s="13"/>
      <c r="G8" s="13"/>
      <c r="H8" s="13"/>
      <c r="I8" s="13"/>
      <c r="J8" s="13"/>
      <c r="K8" s="13"/>
      <c r="L8" s="15" t="s">
        <v>49</v>
      </c>
      <c r="M8" s="13"/>
      <c r="N8" s="13"/>
      <c r="O8" s="1478">
        <f>'ปร.5(ก)'!D19</f>
        <v>24356983.855786581</v>
      </c>
      <c r="P8" s="1478"/>
      <c r="Q8" s="1478"/>
      <c r="R8" s="1478"/>
      <c r="S8" s="13" t="s">
        <v>51</v>
      </c>
      <c r="T8" s="13"/>
      <c r="U8" s="348">
        <v>10</v>
      </c>
      <c r="V8" s="348">
        <v>1.2926</v>
      </c>
      <c r="W8" s="13"/>
    </row>
    <row r="9" spans="1:23" ht="23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5"/>
      <c r="M9" s="13"/>
      <c r="N9" s="13"/>
      <c r="O9" s="1473"/>
      <c r="P9" s="1473"/>
      <c r="Q9" s="1473"/>
      <c r="R9" s="1473"/>
      <c r="S9" s="13"/>
      <c r="T9" s="13"/>
      <c r="U9" s="348">
        <v>15</v>
      </c>
      <c r="V9" s="348">
        <v>1.2576000000000001</v>
      </c>
      <c r="W9" s="13"/>
    </row>
    <row r="10" spans="1:23" ht="23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5"/>
      <c r="M10" s="13"/>
      <c r="N10" s="13"/>
      <c r="O10" s="13"/>
      <c r="P10" s="13"/>
      <c r="Q10" s="15"/>
      <c r="R10" s="13"/>
      <c r="S10" s="13"/>
      <c r="T10" s="13"/>
      <c r="U10" s="348">
        <v>20</v>
      </c>
      <c r="V10" s="349">
        <v>1.25</v>
      </c>
      <c r="W10" s="13"/>
    </row>
    <row r="11" spans="1:23" ht="23.25">
      <c r="A11" s="13"/>
      <c r="B11" s="1479" t="s">
        <v>60</v>
      </c>
      <c r="C11" s="1479"/>
      <c r="D11" s="1479"/>
      <c r="E11" s="1479"/>
      <c r="F11" s="1479"/>
      <c r="G11" s="1479"/>
      <c r="H11" s="1479"/>
      <c r="I11" s="1479"/>
      <c r="J11" s="13"/>
      <c r="K11" s="13"/>
      <c r="L11" s="20" t="s">
        <v>49</v>
      </c>
      <c r="M11" s="13"/>
      <c r="N11" s="13"/>
      <c r="O11" s="1473">
        <f>O8</f>
        <v>24356983.855786581</v>
      </c>
      <c r="P11" s="1473"/>
      <c r="Q11" s="1473"/>
      <c r="R11" s="1473"/>
      <c r="S11" s="14" t="s">
        <v>51</v>
      </c>
      <c r="T11" s="13"/>
      <c r="U11" s="463">
        <v>25</v>
      </c>
      <c r="V11" s="464">
        <v>1.2230000000000001</v>
      </c>
      <c r="W11" s="13"/>
    </row>
    <row r="12" spans="1:23" ht="23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463">
        <v>30</v>
      </c>
      <c r="V12" s="463">
        <v>1.2146999999999999</v>
      </c>
      <c r="W12" s="13"/>
    </row>
    <row r="13" spans="1:23" ht="23.25">
      <c r="A13" s="14" t="s">
        <v>61</v>
      </c>
      <c r="B13" s="13" t="s">
        <v>62</v>
      </c>
      <c r="C13" s="13"/>
      <c r="D13" s="13"/>
      <c r="E13" s="13"/>
      <c r="F13" s="1480">
        <v>0</v>
      </c>
      <c r="G13" s="1480"/>
      <c r="H13" s="13"/>
      <c r="I13" s="13"/>
      <c r="J13" s="13" t="s">
        <v>63</v>
      </c>
      <c r="K13" s="13"/>
      <c r="L13" s="13"/>
      <c r="M13" s="13"/>
      <c r="N13" s="13"/>
      <c r="O13" s="13"/>
      <c r="P13" s="24">
        <v>0.05</v>
      </c>
      <c r="Q13" s="13" t="s">
        <v>64</v>
      </c>
      <c r="R13" s="13"/>
      <c r="S13" s="13"/>
      <c r="T13" s="13"/>
      <c r="U13" s="348">
        <v>40</v>
      </c>
      <c r="V13" s="348">
        <v>1.2142999999999999</v>
      </c>
      <c r="W13" s="13"/>
    </row>
    <row r="14" spans="1:23" ht="23.25">
      <c r="A14" s="13"/>
      <c r="B14" s="13" t="s">
        <v>65</v>
      </c>
      <c r="C14" s="13"/>
      <c r="D14" s="13"/>
      <c r="E14" s="13"/>
      <c r="F14" s="1480">
        <v>0</v>
      </c>
      <c r="G14" s="1480"/>
      <c r="H14" s="13"/>
      <c r="I14" s="13"/>
      <c r="J14" s="13" t="s">
        <v>10</v>
      </c>
      <c r="K14" s="13"/>
      <c r="L14" s="13"/>
      <c r="M14" s="13"/>
      <c r="N14" s="13"/>
      <c r="O14" s="13"/>
      <c r="P14" s="24">
        <v>7.0000000000000007E-2</v>
      </c>
      <c r="Q14" s="13"/>
      <c r="R14" s="13"/>
      <c r="S14" s="13"/>
      <c r="T14" s="13"/>
      <c r="U14" s="348">
        <v>50</v>
      </c>
      <c r="V14" s="348">
        <v>1.2141999999999999</v>
      </c>
      <c r="W14" s="13"/>
    </row>
    <row r="15" spans="1:23" ht="23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348">
        <v>60</v>
      </c>
      <c r="V15" s="348">
        <v>1.2042999999999999</v>
      </c>
      <c r="W15" s="25"/>
    </row>
    <row r="16" spans="1:23" ht="23.25">
      <c r="A16" s="14" t="s">
        <v>66</v>
      </c>
      <c r="B16" s="13" t="s">
        <v>48</v>
      </c>
      <c r="C16" s="13"/>
      <c r="D16" s="13"/>
      <c r="E16" s="13"/>
      <c r="F16" s="13"/>
      <c r="G16" s="13"/>
      <c r="H16" s="13"/>
      <c r="I16" s="15" t="s">
        <v>49</v>
      </c>
      <c r="J16" s="15" t="s">
        <v>50</v>
      </c>
      <c r="K16" s="13"/>
      <c r="L16" s="13"/>
      <c r="M16" s="15" t="s">
        <v>49</v>
      </c>
      <c r="N16" s="13"/>
      <c r="O16" s="1473">
        <f>O8</f>
        <v>24356983.855786581</v>
      </c>
      <c r="P16" s="1473"/>
      <c r="Q16" s="1473"/>
      <c r="R16" s="1473"/>
      <c r="S16" s="13" t="s">
        <v>51</v>
      </c>
      <c r="T16" s="13"/>
      <c r="U16" s="348">
        <v>70</v>
      </c>
      <c r="V16" s="348">
        <v>1.2032</v>
      </c>
      <c r="W16" s="13"/>
    </row>
    <row r="17" spans="1:23" ht="23.25">
      <c r="A17" s="13"/>
      <c r="B17" s="13" t="s">
        <v>67</v>
      </c>
      <c r="C17" s="13"/>
      <c r="D17" s="13"/>
      <c r="E17" s="13"/>
      <c r="F17" s="13"/>
      <c r="G17" s="13"/>
      <c r="H17" s="13"/>
      <c r="I17" s="15" t="s">
        <v>49</v>
      </c>
      <c r="J17" s="15" t="s">
        <v>57</v>
      </c>
      <c r="K17" s="13"/>
      <c r="L17" s="13"/>
      <c r="M17" s="15" t="s">
        <v>49</v>
      </c>
      <c r="N17" s="13"/>
      <c r="O17" s="1478">
        <v>25000000</v>
      </c>
      <c r="P17" s="1478"/>
      <c r="Q17" s="1478"/>
      <c r="R17" s="1478"/>
      <c r="S17" s="13" t="s">
        <v>51</v>
      </c>
      <c r="T17" s="13"/>
      <c r="U17" s="348">
        <v>80</v>
      </c>
      <c r="V17" s="348">
        <v>1.2032</v>
      </c>
      <c r="W17" s="13"/>
    </row>
    <row r="18" spans="1:23" ht="23.25">
      <c r="A18" s="13"/>
      <c r="B18" s="13" t="s">
        <v>68</v>
      </c>
      <c r="C18" s="13"/>
      <c r="D18" s="13"/>
      <c r="E18" s="13"/>
      <c r="F18" s="13"/>
      <c r="G18" s="13"/>
      <c r="H18" s="13"/>
      <c r="I18" s="15" t="s">
        <v>49</v>
      </c>
      <c r="J18" s="15" t="s">
        <v>58</v>
      </c>
      <c r="K18" s="13"/>
      <c r="L18" s="13"/>
      <c r="M18" s="15" t="s">
        <v>49</v>
      </c>
      <c r="N18" s="13"/>
      <c r="O18" s="1478">
        <v>30000000</v>
      </c>
      <c r="P18" s="1478"/>
      <c r="Q18" s="1478"/>
      <c r="R18" s="1478"/>
      <c r="S18" s="13" t="s">
        <v>51</v>
      </c>
      <c r="T18" s="13"/>
      <c r="U18" s="348">
        <v>90</v>
      </c>
      <c r="V18" s="348">
        <v>1.2032</v>
      </c>
      <c r="W18" s="13"/>
    </row>
    <row r="19" spans="1:23" ht="23.25">
      <c r="A19" s="13"/>
      <c r="B19" s="13" t="s">
        <v>69</v>
      </c>
      <c r="C19" s="13"/>
      <c r="D19" s="13"/>
      <c r="E19" s="13"/>
      <c r="F19" s="13"/>
      <c r="G19" s="13"/>
      <c r="H19" s="13"/>
      <c r="I19" s="15" t="s">
        <v>49</v>
      </c>
      <c r="J19" s="15" t="s">
        <v>53</v>
      </c>
      <c r="K19" s="13"/>
      <c r="L19" s="13"/>
      <c r="M19" s="15" t="s">
        <v>49</v>
      </c>
      <c r="N19" s="13"/>
      <c r="O19" s="1488">
        <v>1.2230000000000001</v>
      </c>
      <c r="P19" s="1488"/>
      <c r="Q19" s="1488"/>
      <c r="R19" s="1488"/>
      <c r="S19" s="13"/>
      <c r="T19" s="13"/>
      <c r="U19" s="348">
        <v>100</v>
      </c>
      <c r="V19" s="348">
        <v>1.2032</v>
      </c>
      <c r="W19" s="13"/>
    </row>
    <row r="20" spans="1:23" ht="23.25">
      <c r="A20" s="13"/>
      <c r="B20" s="13" t="s">
        <v>70</v>
      </c>
      <c r="C20" s="13"/>
      <c r="D20" s="13"/>
      <c r="E20" s="13"/>
      <c r="F20" s="13"/>
      <c r="G20" s="13"/>
      <c r="H20" s="13"/>
      <c r="I20" s="15" t="s">
        <v>49</v>
      </c>
      <c r="J20" s="15" t="s">
        <v>55</v>
      </c>
      <c r="K20" s="13"/>
      <c r="L20" s="13"/>
      <c r="M20" s="15" t="s">
        <v>49</v>
      </c>
      <c r="N20" s="13"/>
      <c r="O20" s="1488">
        <v>1.2146999999999999</v>
      </c>
      <c r="P20" s="1488"/>
      <c r="Q20" s="1488"/>
      <c r="R20" s="1488"/>
      <c r="S20" s="13"/>
      <c r="T20" s="13"/>
      <c r="U20" s="348">
        <v>150</v>
      </c>
      <c r="V20" s="348">
        <v>1.2004999999999999</v>
      </c>
      <c r="W20" s="13"/>
    </row>
    <row r="21" spans="1:23" ht="23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348">
        <v>200</v>
      </c>
      <c r="V21" s="348">
        <v>1.2004999999999999</v>
      </c>
      <c r="W21" s="13"/>
    </row>
    <row r="22" spans="1:23" ht="23.25">
      <c r="A22" s="1475" t="s">
        <v>71</v>
      </c>
      <c r="B22" s="1475" t="s">
        <v>52</v>
      </c>
      <c r="C22" s="1476" t="s">
        <v>49</v>
      </c>
      <c r="D22" s="1481">
        <f>O19</f>
        <v>1.2230000000000001</v>
      </c>
      <c r="E22" s="1482" t="s">
        <v>21</v>
      </c>
      <c r="F22" s="13"/>
      <c r="G22" s="1489" t="str">
        <f>"("&amp;O19&amp;"-"&amp;O20&amp;")"</f>
        <v>(1.223-1.2147)</v>
      </c>
      <c r="H22" s="1489"/>
      <c r="I22" s="1489"/>
      <c r="J22" s="1489"/>
      <c r="K22" s="17" t="s">
        <v>72</v>
      </c>
      <c r="L22" s="1490" t="str">
        <f>"("&amp;TEXT(O16,"#,##0.00")&amp;"-"&amp;TEXT(O17,"#,##0.00")&amp;")"</f>
        <v>(24,356,983.86-25,000,000.00)</v>
      </c>
      <c r="M22" s="1490"/>
      <c r="N22" s="1490"/>
      <c r="O22" s="1490"/>
      <c r="P22" s="1490"/>
      <c r="Q22" s="1490"/>
      <c r="R22" s="1490"/>
      <c r="S22" s="13"/>
      <c r="T22" s="13"/>
      <c r="U22" s="348">
        <v>250</v>
      </c>
      <c r="V22" s="348">
        <v>1.1996</v>
      </c>
      <c r="W22" s="13"/>
    </row>
    <row r="23" spans="1:23" ht="23.25">
      <c r="A23" s="1475"/>
      <c r="B23" s="1475"/>
      <c r="C23" s="1476"/>
      <c r="D23" s="1476"/>
      <c r="E23" s="1481"/>
      <c r="F23" s="13"/>
      <c r="G23" s="14"/>
      <c r="H23" s="14"/>
      <c r="I23" s="1491" t="str">
        <f>"("&amp;TEXT(O18,"#,##0.00")&amp;"-"&amp;TEXT(O17,"#,##0.00")&amp;")"</f>
        <v>(30,000,000.00-25,000,000.00)</v>
      </c>
      <c r="J23" s="1491"/>
      <c r="K23" s="1491"/>
      <c r="L23" s="1491"/>
      <c r="M23" s="1491"/>
      <c r="N23" s="1491"/>
      <c r="O23" s="1491"/>
      <c r="P23" s="14"/>
      <c r="Q23" s="14"/>
      <c r="R23" s="14"/>
      <c r="S23" s="13"/>
      <c r="T23" s="13"/>
      <c r="U23" s="348">
        <v>300</v>
      </c>
      <c r="V23" s="348">
        <v>1.1934</v>
      </c>
      <c r="W23" s="13"/>
    </row>
    <row r="24" spans="1:23" thickBot="1">
      <c r="A24" s="13"/>
      <c r="B24" s="13"/>
      <c r="C24" s="2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348">
        <v>350</v>
      </c>
      <c r="V24" s="348">
        <v>1.1848000000000001</v>
      </c>
      <c r="W24" s="13"/>
    </row>
    <row r="25" spans="1:23" ht="30" customHeight="1" thickBot="1">
      <c r="A25" s="13"/>
      <c r="B25" s="14" t="s">
        <v>73</v>
      </c>
      <c r="C25" s="27" t="s">
        <v>49</v>
      </c>
      <c r="D25" s="28">
        <f>D22</f>
        <v>1.2230000000000001</v>
      </c>
      <c r="E25" s="28"/>
      <c r="F25" s="1483">
        <f>(((O19-O20)*(O16-O17))/(O18-O17))</f>
        <v>-1.0674067993943013E-3</v>
      </c>
      <c r="G25" s="1483"/>
      <c r="H25" s="1483"/>
      <c r="I25" s="1483"/>
      <c r="J25" s="29"/>
      <c r="K25" s="29"/>
      <c r="L25" s="29"/>
      <c r="M25" s="13"/>
      <c r="N25" s="13"/>
      <c r="O25" s="1484">
        <f>FLOOR(W25,0.0001)</f>
        <v>1.224</v>
      </c>
      <c r="P25" s="1485"/>
      <c r="Q25" s="1485"/>
      <c r="R25" s="1486"/>
      <c r="S25" s="13"/>
      <c r="T25" s="13"/>
      <c r="U25" s="348">
        <v>400</v>
      </c>
      <c r="V25" s="349">
        <v>1.1839999999999999</v>
      </c>
      <c r="W25" s="30">
        <f>O19-F25</f>
        <v>1.2240674067993944</v>
      </c>
    </row>
    <row r="26" spans="1:23" ht="23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348">
        <v>500</v>
      </c>
      <c r="V26" s="348">
        <v>1.1835</v>
      </c>
      <c r="W26" s="13"/>
    </row>
    <row r="27" spans="1:23" thickBo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87"/>
      <c r="O27" s="1479"/>
      <c r="P27" s="1479"/>
      <c r="Q27" s="1479"/>
      <c r="R27" s="1479"/>
      <c r="S27" s="1479"/>
      <c r="T27" s="1479"/>
      <c r="U27" s="350" t="s">
        <v>597</v>
      </c>
      <c r="V27" s="351">
        <v>1.177</v>
      </c>
      <c r="W27" s="13"/>
    </row>
    <row r="28" spans="1:23" thickTop="1">
      <c r="U28" s="13"/>
      <c r="V28" s="352">
        <f>O21-F28</f>
        <v>0</v>
      </c>
    </row>
  </sheetData>
  <sheetProtection algorithmName="SHA-512" hashValue="/jy0+j6WezlBk1OK58F7MBfKIfovhfFmn/fxRewZ21rvUPCvBdoOS6BrRI0x7HFVwviiHBnvYoangriHqMOBYA==" saltValue="YEsK4I8zClhXrV0nFaPxDQ==" spinCount="100000" sheet="1" objects="1" scenarios="1" selectLockedCells="1" selectUnlockedCells="1"/>
  <mergeCells count="27">
    <mergeCell ref="F25:I25"/>
    <mergeCell ref="O25:R25"/>
    <mergeCell ref="N27:T27"/>
    <mergeCell ref="O17:R17"/>
    <mergeCell ref="O18:R18"/>
    <mergeCell ref="O19:R19"/>
    <mergeCell ref="O20:R20"/>
    <mergeCell ref="G22:J22"/>
    <mergeCell ref="L22:R22"/>
    <mergeCell ref="I23:O23"/>
    <mergeCell ref="A22:A23"/>
    <mergeCell ref="B22:B23"/>
    <mergeCell ref="C22:C23"/>
    <mergeCell ref="D22:D23"/>
    <mergeCell ref="E22:E23"/>
    <mergeCell ref="O16:R16"/>
    <mergeCell ref="A1:S1"/>
    <mergeCell ref="B5:B6"/>
    <mergeCell ref="C5:C6"/>
    <mergeCell ref="D5:D6"/>
    <mergeCell ref="E5:E6"/>
    <mergeCell ref="O8:R8"/>
    <mergeCell ref="O9:R9"/>
    <mergeCell ref="B11:I11"/>
    <mergeCell ref="O11:R11"/>
    <mergeCell ref="F13:G13"/>
    <mergeCell ref="F14:G14"/>
  </mergeCells>
  <pageMargins left="0.70866141732283472" right="0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topLeftCell="A26" zoomScale="70" zoomScaleNormal="70" workbookViewId="0">
      <selection activeCell="C39" sqref="C39"/>
    </sheetView>
  </sheetViews>
  <sheetFormatPr defaultColWidth="100.7109375" defaultRowHeight="21.75"/>
  <cols>
    <col min="1" max="1" width="71.5703125" style="301" customWidth="1"/>
    <col min="2" max="2" width="8.7109375" style="301" bestFit="1" customWidth="1"/>
    <col min="3" max="3" width="71.42578125" style="301" customWidth="1"/>
    <col min="4" max="4" width="9.28515625" style="301" customWidth="1"/>
    <col min="5" max="5" width="10" style="301" customWidth="1"/>
    <col min="6" max="6" width="11.28515625" style="301" bestFit="1" customWidth="1"/>
    <col min="7" max="8" width="7.5703125" style="301" bestFit="1" customWidth="1"/>
    <col min="9" max="9" width="9.7109375" style="301" bestFit="1" customWidth="1"/>
    <col min="10" max="11" width="15.7109375" style="301" customWidth="1"/>
    <col min="12" max="12" width="11.28515625" style="301" customWidth="1"/>
    <col min="13" max="14" width="7.5703125" style="301" customWidth="1"/>
    <col min="15" max="15" width="11.5703125" style="301" customWidth="1"/>
    <col min="16" max="16" width="11" style="301" customWidth="1"/>
    <col min="17" max="17" width="10.42578125" style="301" customWidth="1"/>
    <col min="18" max="18" width="13.28515625" style="301" customWidth="1"/>
    <col min="19" max="19" width="11.5703125" style="301" customWidth="1"/>
    <col min="20" max="20" width="9.7109375" style="301" customWidth="1"/>
    <col min="21" max="21" width="12.28515625" style="309" customWidth="1"/>
    <col min="22" max="22" width="10.5703125" style="309" customWidth="1"/>
    <col min="23" max="23" width="11.28515625" style="309" customWidth="1"/>
    <col min="24" max="24" width="12.28515625" style="309" customWidth="1"/>
    <col min="25" max="25" width="14.5703125" style="309" customWidth="1"/>
    <col min="26" max="26" width="14" style="309" customWidth="1"/>
    <col min="27" max="28" width="12.28515625" style="309" customWidth="1"/>
    <col min="29" max="29" width="11.7109375" style="309" customWidth="1"/>
    <col min="30" max="30" width="10.28515625" style="309" customWidth="1"/>
    <col min="31" max="31" width="15.5703125" style="301" customWidth="1"/>
    <col min="32" max="32" width="7.5703125" style="301" customWidth="1"/>
    <col min="33" max="33" width="12.28515625" style="301" customWidth="1"/>
    <col min="34" max="34" width="9.7109375" style="301" customWidth="1"/>
    <col min="35" max="35" width="14.42578125" style="301" customWidth="1"/>
    <col min="36" max="37" width="11.5703125" style="301" customWidth="1"/>
    <col min="38" max="38" width="17.28515625" style="301" customWidth="1"/>
    <col min="39" max="39" width="12.7109375" style="301" customWidth="1"/>
    <col min="40" max="43" width="9.7109375" style="301" customWidth="1"/>
    <col min="44" max="44" width="15.5703125" style="301" customWidth="1"/>
    <col min="45" max="45" width="7.5703125" style="301" customWidth="1"/>
    <col min="46" max="46" width="12.28515625" style="301" customWidth="1"/>
    <col min="47" max="47" width="14.42578125" style="301" customWidth="1"/>
    <col min="48" max="48" width="17.28515625" style="301" customWidth="1"/>
    <col min="49" max="49" width="12.7109375" style="301" customWidth="1"/>
    <col min="50" max="51" width="9.7109375" style="301" customWidth="1"/>
    <col min="52" max="52" width="14.42578125" style="301" customWidth="1"/>
    <col min="53" max="54" width="14.42578125" style="301" hidden="1" customWidth="1"/>
    <col min="55" max="55" width="13.28515625" style="301" hidden="1" customWidth="1"/>
    <col min="56" max="57" width="11.5703125" style="301" customWidth="1"/>
    <col min="58" max="58" width="13.7109375" style="301" customWidth="1"/>
    <col min="59" max="59" width="13.7109375" style="301" hidden="1" customWidth="1"/>
    <col min="60" max="60" width="13.28515625" style="301" hidden="1" customWidth="1"/>
    <col min="61" max="62" width="9.7109375" style="301" hidden="1" customWidth="1"/>
    <col min="63" max="68" width="11.5703125" style="301" customWidth="1"/>
    <col min="69" max="16384" width="100.7109375" style="301"/>
  </cols>
  <sheetData>
    <row r="1" spans="1:69" s="225" customFormat="1" ht="24">
      <c r="A1" s="1494" t="s">
        <v>1</v>
      </c>
      <c r="B1" s="1495" t="s">
        <v>1</v>
      </c>
      <c r="C1" s="1495" t="s">
        <v>1</v>
      </c>
      <c r="D1" s="223"/>
      <c r="E1" s="223"/>
      <c r="F1" s="1494" t="s">
        <v>13</v>
      </c>
      <c r="G1" s="1494" t="s">
        <v>423</v>
      </c>
      <c r="H1" s="1494"/>
      <c r="I1" s="1494"/>
      <c r="J1" s="1494" t="s">
        <v>14</v>
      </c>
      <c r="K1" s="1494" t="s">
        <v>424</v>
      </c>
      <c r="L1" s="1497" t="s">
        <v>425</v>
      </c>
      <c r="M1" s="1494" t="s">
        <v>426</v>
      </c>
      <c r="N1" s="1494"/>
      <c r="O1" s="1494"/>
      <c r="P1" s="1494"/>
      <c r="Q1" s="1494"/>
      <c r="R1" s="1494"/>
      <c r="S1" s="1494"/>
      <c r="T1" s="1494"/>
      <c r="U1" s="1494" t="s">
        <v>427</v>
      </c>
      <c r="V1" s="1494"/>
      <c r="W1" s="1494"/>
      <c r="X1" s="1494"/>
      <c r="Y1" s="1494" t="s">
        <v>428</v>
      </c>
      <c r="Z1" s="1494"/>
      <c r="AA1" s="1494"/>
      <c r="AB1" s="1494"/>
      <c r="AC1" s="1492" t="s">
        <v>429</v>
      </c>
      <c r="AD1" s="1493"/>
      <c r="AE1" s="1499" t="s">
        <v>430</v>
      </c>
      <c r="AF1" s="1508"/>
      <c r="AG1" s="1508"/>
      <c r="AH1" s="1508"/>
      <c r="AI1" s="1508"/>
      <c r="AJ1" s="1508"/>
      <c r="AK1" s="1508"/>
      <c r="AL1" s="1508"/>
      <c r="AM1" s="1508"/>
      <c r="AN1" s="1508"/>
      <c r="AO1" s="1500"/>
      <c r="AP1" s="1492" t="s">
        <v>431</v>
      </c>
      <c r="AQ1" s="1493"/>
      <c r="AR1" s="1499" t="s">
        <v>432</v>
      </c>
      <c r="AS1" s="1508"/>
      <c r="AT1" s="1508"/>
      <c r="AU1" s="1508"/>
      <c r="AV1" s="1508"/>
      <c r="AW1" s="1508"/>
      <c r="AX1" s="1508"/>
      <c r="AY1" s="1500"/>
      <c r="AZ1" s="1494" t="s">
        <v>433</v>
      </c>
      <c r="BA1" s="1494"/>
      <c r="BB1" s="1494"/>
      <c r="BC1" s="1494"/>
      <c r="BD1" s="1494"/>
      <c r="BE1" s="1494"/>
      <c r="BF1" s="1494" t="s">
        <v>434</v>
      </c>
      <c r="BG1" s="1494"/>
      <c r="BH1" s="1494"/>
      <c r="BI1" s="1494"/>
      <c r="BJ1" s="1494"/>
      <c r="BK1" s="1499" t="s">
        <v>28</v>
      </c>
      <c r="BL1" s="1500"/>
      <c r="BM1" s="224" t="s">
        <v>435</v>
      </c>
      <c r="BN1" s="1494" t="s">
        <v>28</v>
      </c>
      <c r="BO1" s="1494"/>
      <c r="BP1" s="1494"/>
    </row>
    <row r="2" spans="1:69" s="225" customFormat="1" ht="24">
      <c r="A2" s="1494"/>
      <c r="B2" s="1496"/>
      <c r="C2" s="1496"/>
      <c r="D2" s="226"/>
      <c r="E2" s="226"/>
      <c r="F2" s="1494"/>
      <c r="G2" s="224" t="s">
        <v>436</v>
      </c>
      <c r="H2" s="224" t="s">
        <v>437</v>
      </c>
      <c r="I2" s="224" t="s">
        <v>438</v>
      </c>
      <c r="J2" s="1494"/>
      <c r="K2" s="1494"/>
      <c r="L2" s="1498"/>
      <c r="M2" s="1499" t="s">
        <v>439</v>
      </c>
      <c r="N2" s="1500"/>
      <c r="O2" s="224" t="s">
        <v>440</v>
      </c>
      <c r="P2" s="224" t="s">
        <v>441</v>
      </c>
      <c r="Q2" s="224" t="s">
        <v>442</v>
      </c>
      <c r="R2" s="224" t="s">
        <v>443</v>
      </c>
      <c r="S2" s="227" t="s">
        <v>444</v>
      </c>
      <c r="T2" s="227" t="s">
        <v>445</v>
      </c>
      <c r="U2" s="224" t="s">
        <v>446</v>
      </c>
      <c r="V2" s="224" t="s">
        <v>447</v>
      </c>
      <c r="W2" s="224" t="s">
        <v>441</v>
      </c>
      <c r="X2" s="224" t="s">
        <v>448</v>
      </c>
      <c r="Y2" s="224" t="s">
        <v>449</v>
      </c>
      <c r="Z2" s="224" t="s">
        <v>450</v>
      </c>
      <c r="AA2" s="224" t="s">
        <v>448</v>
      </c>
      <c r="AB2" s="224" t="s">
        <v>451</v>
      </c>
      <c r="AC2" s="224" t="s">
        <v>444</v>
      </c>
      <c r="AD2" s="224" t="s">
        <v>445</v>
      </c>
      <c r="AE2" s="224" t="s">
        <v>452</v>
      </c>
      <c r="AF2" s="224" t="s">
        <v>437</v>
      </c>
      <c r="AG2" s="224" t="s">
        <v>453</v>
      </c>
      <c r="AH2" s="224" t="s">
        <v>454</v>
      </c>
      <c r="AI2" s="224" t="s">
        <v>455</v>
      </c>
      <c r="AJ2" s="224" t="s">
        <v>456</v>
      </c>
      <c r="AK2" s="224" t="s">
        <v>457</v>
      </c>
      <c r="AL2" s="224" t="s">
        <v>441</v>
      </c>
      <c r="AM2" s="224" t="s">
        <v>458</v>
      </c>
      <c r="AN2" s="224" t="s">
        <v>444</v>
      </c>
      <c r="AO2" s="224" t="s">
        <v>445</v>
      </c>
      <c r="AP2" s="228" t="s">
        <v>444</v>
      </c>
      <c r="AQ2" s="228" t="s">
        <v>445</v>
      </c>
      <c r="AR2" s="224" t="s">
        <v>452</v>
      </c>
      <c r="AS2" s="224" t="s">
        <v>437</v>
      </c>
      <c r="AT2" s="224" t="s">
        <v>459</v>
      </c>
      <c r="AU2" s="224" t="s">
        <v>455</v>
      </c>
      <c r="AV2" s="224" t="s">
        <v>441</v>
      </c>
      <c r="AW2" s="224" t="s">
        <v>458</v>
      </c>
      <c r="AX2" s="229" t="s">
        <v>444</v>
      </c>
      <c r="AY2" s="229" t="s">
        <v>445</v>
      </c>
      <c r="AZ2" s="224" t="s">
        <v>460</v>
      </c>
      <c r="BA2" s="227" t="s">
        <v>455</v>
      </c>
      <c r="BB2" s="224" t="s">
        <v>461</v>
      </c>
      <c r="BC2" s="224" t="s">
        <v>443</v>
      </c>
      <c r="BD2" s="224" t="s">
        <v>444</v>
      </c>
      <c r="BE2" s="224" t="s">
        <v>445</v>
      </c>
      <c r="BF2" s="227" t="s">
        <v>462</v>
      </c>
      <c r="BG2" s="224" t="s">
        <v>450</v>
      </c>
      <c r="BH2" s="224" t="s">
        <v>443</v>
      </c>
      <c r="BI2" s="224" t="s">
        <v>444</v>
      </c>
      <c r="BJ2" s="224" t="s">
        <v>445</v>
      </c>
      <c r="BK2" s="224" t="s">
        <v>463</v>
      </c>
      <c r="BL2" s="224" t="s">
        <v>464</v>
      </c>
      <c r="BM2" s="224" t="s">
        <v>435</v>
      </c>
      <c r="BN2" s="224" t="s">
        <v>463</v>
      </c>
      <c r="BO2" s="224" t="s">
        <v>464</v>
      </c>
      <c r="BP2" s="224" t="s">
        <v>465</v>
      </c>
    </row>
    <row r="3" spans="1:69" s="256" customFormat="1" ht="24">
      <c r="A3" s="230" t="str">
        <f t="shared" ref="A3:A18" si="0">B3&amp;" "&amp;C3&amp;" ขนาด "&amp;G3&amp;"x"&amp;H3&amp;" ม."</f>
        <v xml:space="preserve"> - D ประตูวงกบไม้เนื้อแข็ง บานเปิดเดี่ยว/คู่ มี/ไม่มีเกล็ด ขนาด 1.00x1.00 ม.</v>
      </c>
      <c r="B3" s="231" t="s">
        <v>466</v>
      </c>
      <c r="C3" s="232" t="s">
        <v>467</v>
      </c>
      <c r="D3" s="233"/>
      <c r="E3" s="233"/>
      <c r="F3" s="234">
        <f t="shared" ref="F3:F18" si="1">SUM(D3:E3)</f>
        <v>0</v>
      </c>
      <c r="G3" s="235" t="s">
        <v>468</v>
      </c>
      <c r="H3" s="235" t="s">
        <v>468</v>
      </c>
      <c r="I3" s="236">
        <f t="shared" ref="I3:I18" si="2">G3*H3</f>
        <v>1</v>
      </c>
      <c r="J3" s="237">
        <f t="shared" ref="J3:K14" si="3">BN3</f>
        <v>2500</v>
      </c>
      <c r="K3" s="237">
        <f t="shared" si="3"/>
        <v>1000</v>
      </c>
      <c r="L3" s="238"/>
      <c r="M3" s="239">
        <v>2</v>
      </c>
      <c r="N3" s="240">
        <v>4</v>
      </c>
      <c r="O3" s="241">
        <f t="shared" ref="O3:O13" si="4">IF(M3=0,0,G3+H3*2)</f>
        <v>3</v>
      </c>
      <c r="P3" s="241">
        <f t="shared" ref="P3:P9" si="5">IF(N3=4,134,335)</f>
        <v>134</v>
      </c>
      <c r="Q3" s="242">
        <v>40</v>
      </c>
      <c r="R3" s="242">
        <v>100</v>
      </c>
      <c r="S3" s="243">
        <f t="shared" ref="S3:S14" si="6">ROUNDUP(O3*P3,0)</f>
        <v>402</v>
      </c>
      <c r="T3" s="244">
        <f t="shared" ref="T3:T14" si="7">ROUNDUP(IF(M3=0,0,O3*Q3+I3*R3),0)</f>
        <v>220</v>
      </c>
      <c r="U3" s="245">
        <v>1</v>
      </c>
      <c r="V3" s="246">
        <f>(G3-M3*2*0.025)*2+(H3-M3*0.025)*2*U3</f>
        <v>3.7</v>
      </c>
      <c r="W3" s="242">
        <v>170</v>
      </c>
      <c r="X3" s="242">
        <v>230</v>
      </c>
      <c r="Y3" s="246">
        <f>(G3-M3*2*0.025-0.0635*U3)*(H3-M3*0.025-0.0635)-(AI3)</f>
        <v>0.74155724999999995</v>
      </c>
      <c r="Z3" s="242">
        <v>1100</v>
      </c>
      <c r="AA3" s="242">
        <v>320</v>
      </c>
      <c r="AB3" s="242">
        <f>105</f>
        <v>105</v>
      </c>
      <c r="AC3" s="242">
        <f>ROUNDUP(V3*W3+Y3*Z3,0)</f>
        <v>1445</v>
      </c>
      <c r="AD3" s="236">
        <f t="shared" ref="AD3:AD14" si="8">ROUNDUP((X3*U3)+(AA3*U3)+((G3-M3*2*0.025)*(H3-M3*0.025))*AB3,0)</f>
        <v>640</v>
      </c>
      <c r="AE3" s="239" t="s">
        <v>469</v>
      </c>
      <c r="AF3" s="247">
        <v>0</v>
      </c>
      <c r="AG3" s="247">
        <v>0</v>
      </c>
      <c r="AH3" s="247">
        <v>0</v>
      </c>
      <c r="AI3" s="241">
        <f t="shared" ref="AI3:AI14" si="9">AF3*AG3*U3</f>
        <v>0</v>
      </c>
      <c r="AJ3" s="241">
        <f>AG3*AH3*U3</f>
        <v>0</v>
      </c>
      <c r="AK3" s="241">
        <f>AH3*U3</f>
        <v>0</v>
      </c>
      <c r="AL3" s="242">
        <v>48</v>
      </c>
      <c r="AM3" s="242">
        <v>27</v>
      </c>
      <c r="AN3" s="242">
        <f>ROUNDUP(AJ3*AL3,0)</f>
        <v>0</v>
      </c>
      <c r="AO3" s="236">
        <f>AM3*AK3</f>
        <v>0</v>
      </c>
      <c r="AP3" s="248">
        <f>ROUNDUP((AC3+AN3)/U3,0)</f>
        <v>1445</v>
      </c>
      <c r="AQ3" s="248">
        <f>ROUNDUP((AD3+AO3)/U3,0)</f>
        <v>640</v>
      </c>
      <c r="AR3" s="239" t="s">
        <v>470</v>
      </c>
      <c r="AS3" s="247">
        <v>0</v>
      </c>
      <c r="AT3" s="247">
        <v>0</v>
      </c>
      <c r="AU3" s="241">
        <f t="shared" ref="AU3:AU14" si="10">AS3*AT3*U3</f>
        <v>0</v>
      </c>
      <c r="AV3" s="242">
        <f t="shared" ref="AV3:AV6" si="11">19/0.093</f>
        <v>204.30107526881721</v>
      </c>
      <c r="AW3" s="242">
        <f t="shared" ref="AW3:AW6" si="12">11/0.093</f>
        <v>118.27956989247312</v>
      </c>
      <c r="AX3" s="249">
        <f t="shared" ref="AX3:AX14" si="13">ROUNDUP(AU3*AV3,0)</f>
        <v>0</v>
      </c>
      <c r="AY3" s="250">
        <f t="shared" ref="AY3:AY14" si="14">ROUNDUP(AW3*AU3,0)</f>
        <v>0</v>
      </c>
      <c r="AZ3" s="245">
        <v>0</v>
      </c>
      <c r="BA3" s="251">
        <f t="shared" ref="BA3:BA14" si="15">IF(AZ3=0,0,((G3-M3*2*0.025)*(H3-M3*0.025))*2+0.04*((G3-M3*2*0.025)*2+(H3-M3*0.025)*2))</f>
        <v>0</v>
      </c>
      <c r="BB3" s="242">
        <v>500</v>
      </c>
      <c r="BC3" s="242">
        <v>250</v>
      </c>
      <c r="BD3" s="242">
        <f t="shared" ref="BD3:BD14" si="16">ROUNDUP(BA3*BB3,0)</f>
        <v>0</v>
      </c>
      <c r="BE3" s="236">
        <f t="shared" ref="BE3:BE14" si="17">ROUNDUP(BA3*BC3,0)</f>
        <v>0</v>
      </c>
      <c r="BF3" s="252">
        <f>IF(AZ3=0,ROUNDUP((M3*2*0.025+N3*0.025)*O3+((G3-M3*2*0.025)*(H3-M3*0.025)*2),1),ROUNDUP((M3*2*0.025+N3*0.025)*O3,1))</f>
        <v>2.4</v>
      </c>
      <c r="BG3" s="242">
        <v>30</v>
      </c>
      <c r="BH3" s="242">
        <v>38</v>
      </c>
      <c r="BI3" s="242">
        <f t="shared" ref="BI3:BI14" si="18">ROUNDUP(BF3*BG3,0)</f>
        <v>72</v>
      </c>
      <c r="BJ3" s="236">
        <f t="shared" ref="BJ3:BJ14" si="19">ROUNDUP(BF3*BH3,0)</f>
        <v>92</v>
      </c>
      <c r="BK3" s="253">
        <f t="shared" ref="BK3:BK14" si="20">SUM(S3+AC3+AN3+AX3+BD3+BI3)</f>
        <v>1919</v>
      </c>
      <c r="BL3" s="253">
        <f t="shared" ref="BL3:BL14" si="21">SUM(T3+AD3+AO3+AY3+BE3+BJ3)</f>
        <v>952</v>
      </c>
      <c r="BM3" s="254">
        <f t="shared" ref="BM3:BM14" si="22">BK3*30%</f>
        <v>575.69999999999993</v>
      </c>
      <c r="BN3" s="253">
        <f>ROUNDUP(BK3+BM3,-2)</f>
        <v>2500</v>
      </c>
      <c r="BO3" s="253">
        <f t="shared" ref="BO3:BO14" si="23">ROUNDUP(BL3,-2)</f>
        <v>1000</v>
      </c>
      <c r="BP3" s="255">
        <f t="shared" ref="BP3:BP14" si="24">BN3*15%</f>
        <v>375</v>
      </c>
    </row>
    <row r="4" spans="1:69" s="256" customFormat="1" ht="24">
      <c r="A4" s="230" t="str">
        <f t="shared" si="0"/>
        <v xml:space="preserve"> - D ประตูไม้เนื้อแข็ง บานลื่อนเดี่ยว ไม่มีเกล็ด ขนาด 1.00x1.00 ม.</v>
      </c>
      <c r="B4" s="231" t="s">
        <v>466</v>
      </c>
      <c r="C4" s="232" t="s">
        <v>471</v>
      </c>
      <c r="D4" s="233"/>
      <c r="E4" s="233"/>
      <c r="F4" s="234">
        <f t="shared" si="1"/>
        <v>0</v>
      </c>
      <c r="G4" s="235" t="s">
        <v>468</v>
      </c>
      <c r="H4" s="235" t="s">
        <v>468</v>
      </c>
      <c r="I4" s="236">
        <f t="shared" si="2"/>
        <v>1</v>
      </c>
      <c r="J4" s="237">
        <f t="shared" si="3"/>
        <v>2300</v>
      </c>
      <c r="K4" s="237">
        <f t="shared" si="3"/>
        <v>800</v>
      </c>
      <c r="L4" s="238"/>
      <c r="M4" s="257">
        <v>0</v>
      </c>
      <c r="N4" s="258">
        <v>0</v>
      </c>
      <c r="O4" s="241">
        <f t="shared" si="4"/>
        <v>0</v>
      </c>
      <c r="P4" s="241">
        <f t="shared" si="5"/>
        <v>335</v>
      </c>
      <c r="Q4" s="242">
        <v>40</v>
      </c>
      <c r="R4" s="242">
        <v>100</v>
      </c>
      <c r="S4" s="243">
        <f t="shared" si="6"/>
        <v>0</v>
      </c>
      <c r="T4" s="244">
        <f t="shared" si="7"/>
        <v>0</v>
      </c>
      <c r="U4" s="245">
        <v>1</v>
      </c>
      <c r="V4" s="246">
        <f>(G4-M4*2*0.025)*2+(H4-M4*0.025)*2*U4</f>
        <v>4</v>
      </c>
      <c r="W4" s="242">
        <v>170</v>
      </c>
      <c r="X4" s="242">
        <v>230</v>
      </c>
      <c r="Y4" s="246">
        <f>(G4-M4*2*0.025-0.0635*U4)*(H4-M4*0.025-0.0635)-(AI4)</f>
        <v>0.87703224999999996</v>
      </c>
      <c r="Z4" s="242">
        <v>1100</v>
      </c>
      <c r="AA4" s="242">
        <v>320</v>
      </c>
      <c r="AB4" s="242">
        <f>105</f>
        <v>105</v>
      </c>
      <c r="AC4" s="242">
        <f t="shared" ref="AC4:AC11" si="25">ROUNDUP(V4*W4+Y4*Z4,0)</f>
        <v>1645</v>
      </c>
      <c r="AD4" s="236">
        <f t="shared" si="8"/>
        <v>655</v>
      </c>
      <c r="AE4" s="239" t="s">
        <v>469</v>
      </c>
      <c r="AF4" s="247">
        <v>0</v>
      </c>
      <c r="AG4" s="247">
        <v>0</v>
      </c>
      <c r="AH4" s="247">
        <v>0</v>
      </c>
      <c r="AI4" s="241">
        <f t="shared" si="9"/>
        <v>0</v>
      </c>
      <c r="AJ4" s="241">
        <f>AG4*AH4*U4</f>
        <v>0</v>
      </c>
      <c r="AK4" s="241">
        <f>AH4*U4</f>
        <v>0</v>
      </c>
      <c r="AL4" s="242">
        <v>48</v>
      </c>
      <c r="AM4" s="242">
        <v>27</v>
      </c>
      <c r="AN4" s="242">
        <f>ROUNDUP(AJ4*AL4,0)</f>
        <v>0</v>
      </c>
      <c r="AO4" s="236">
        <f>AM4*AK4</f>
        <v>0</v>
      </c>
      <c r="AP4" s="248">
        <f t="shared" ref="AP4:AP14" si="26">ROUNDUP((AC4+AN4)/U4,0)</f>
        <v>1645</v>
      </c>
      <c r="AQ4" s="248">
        <f t="shared" ref="AQ4:AQ14" si="27">ROUNDUP((AD4+AO4)/U4,0)</f>
        <v>655</v>
      </c>
      <c r="AR4" s="239" t="s">
        <v>470</v>
      </c>
      <c r="AS4" s="247">
        <v>0</v>
      </c>
      <c r="AT4" s="247">
        <v>0</v>
      </c>
      <c r="AU4" s="241">
        <f t="shared" si="10"/>
        <v>0</v>
      </c>
      <c r="AV4" s="242">
        <f t="shared" si="11"/>
        <v>204.30107526881721</v>
      </c>
      <c r="AW4" s="242">
        <f t="shared" si="12"/>
        <v>118.27956989247312</v>
      </c>
      <c r="AX4" s="249">
        <f t="shared" si="13"/>
        <v>0</v>
      </c>
      <c r="AY4" s="250">
        <f t="shared" si="14"/>
        <v>0</v>
      </c>
      <c r="AZ4" s="245">
        <v>0</v>
      </c>
      <c r="BA4" s="251">
        <f t="shared" si="15"/>
        <v>0</v>
      </c>
      <c r="BB4" s="242">
        <v>500</v>
      </c>
      <c r="BC4" s="242">
        <v>250</v>
      </c>
      <c r="BD4" s="242">
        <f t="shared" si="16"/>
        <v>0</v>
      </c>
      <c r="BE4" s="236">
        <f t="shared" si="17"/>
        <v>0</v>
      </c>
      <c r="BF4" s="252">
        <f>IF(AZ4=0,ROUNDUP((M4*2*0.025+N4*0.025)*O4+((G4-M4*2*0.025)*(H4-M4*0.025)*2),1),ROUNDUP((M4*2*0.025+N4*0.025)*O4,1))</f>
        <v>2</v>
      </c>
      <c r="BG4" s="242">
        <v>30</v>
      </c>
      <c r="BH4" s="242">
        <v>38</v>
      </c>
      <c r="BI4" s="242">
        <f t="shared" si="18"/>
        <v>60</v>
      </c>
      <c r="BJ4" s="236">
        <f t="shared" si="19"/>
        <v>76</v>
      </c>
      <c r="BK4" s="253">
        <f t="shared" si="20"/>
        <v>1705</v>
      </c>
      <c r="BL4" s="253">
        <f t="shared" si="21"/>
        <v>731</v>
      </c>
      <c r="BM4" s="254">
        <f t="shared" si="22"/>
        <v>511.5</v>
      </c>
      <c r="BN4" s="253">
        <f t="shared" ref="BN4:BN14" si="28">ROUNDUP(BK4+BM4,-2)</f>
        <v>2300</v>
      </c>
      <c r="BO4" s="253">
        <f t="shared" si="23"/>
        <v>800</v>
      </c>
      <c r="BP4" s="255">
        <f t="shared" si="24"/>
        <v>345</v>
      </c>
    </row>
    <row r="5" spans="1:69" s="256" customFormat="1" ht="48">
      <c r="A5" s="230" t="str">
        <f t="shared" si="0"/>
        <v xml:space="preserve"> - D ประตูวงกบไม้เนื้อแข็ง กรุไม้อัดยางกันชื้น บานเปิดเดี่ยว/คู่ มี/ไม่มีเกล็ด ขนาด 1.00x1.00 ม.</v>
      </c>
      <c r="B5" s="231" t="s">
        <v>466</v>
      </c>
      <c r="C5" s="232" t="s">
        <v>472</v>
      </c>
      <c r="D5" s="233"/>
      <c r="E5" s="233"/>
      <c r="F5" s="234">
        <f t="shared" si="1"/>
        <v>0</v>
      </c>
      <c r="G5" s="235" t="s">
        <v>468</v>
      </c>
      <c r="H5" s="235" t="s">
        <v>468</v>
      </c>
      <c r="I5" s="236">
        <f t="shared" si="2"/>
        <v>1</v>
      </c>
      <c r="J5" s="237">
        <f t="shared" si="3"/>
        <v>2100</v>
      </c>
      <c r="K5" s="237">
        <f t="shared" si="3"/>
        <v>800</v>
      </c>
      <c r="L5" s="238"/>
      <c r="M5" s="239">
        <v>2</v>
      </c>
      <c r="N5" s="240">
        <v>4</v>
      </c>
      <c r="O5" s="241">
        <f t="shared" si="4"/>
        <v>3</v>
      </c>
      <c r="P5" s="241">
        <f t="shared" si="5"/>
        <v>134</v>
      </c>
      <c r="Q5" s="242">
        <v>40</v>
      </c>
      <c r="R5" s="242">
        <v>100</v>
      </c>
      <c r="S5" s="243">
        <f t="shared" si="6"/>
        <v>402</v>
      </c>
      <c r="T5" s="244">
        <f t="shared" si="7"/>
        <v>220</v>
      </c>
      <c r="U5" s="245">
        <v>1</v>
      </c>
      <c r="V5" s="257">
        <v>0</v>
      </c>
      <c r="W5" s="259">
        <v>0</v>
      </c>
      <c r="X5" s="259">
        <v>0</v>
      </c>
      <c r="Y5" s="257">
        <f>(G5-M5*2*0.025)*(H5-M5*0.025)-(AI5)</f>
        <v>0.85499999999999998</v>
      </c>
      <c r="Z5" s="259">
        <v>1250</v>
      </c>
      <c r="AA5" s="242">
        <v>320</v>
      </c>
      <c r="AB5" s="242">
        <f>105</f>
        <v>105</v>
      </c>
      <c r="AC5" s="242">
        <f t="shared" si="25"/>
        <v>1069</v>
      </c>
      <c r="AD5" s="236">
        <f t="shared" si="8"/>
        <v>410</v>
      </c>
      <c r="AE5" s="239" t="s">
        <v>469</v>
      </c>
      <c r="AF5" s="247">
        <v>0</v>
      </c>
      <c r="AG5" s="247">
        <v>0</v>
      </c>
      <c r="AH5" s="247">
        <v>0</v>
      </c>
      <c r="AI5" s="241">
        <f t="shared" si="9"/>
        <v>0</v>
      </c>
      <c r="AJ5" s="241">
        <f>AG5*AH5*U5</f>
        <v>0</v>
      </c>
      <c r="AK5" s="241">
        <f>AH5*U5</f>
        <v>0</v>
      </c>
      <c r="AL5" s="242">
        <v>48</v>
      </c>
      <c r="AM5" s="242">
        <v>27</v>
      </c>
      <c r="AN5" s="242">
        <f>ROUNDUP(AJ5*AL5,0)</f>
        <v>0</v>
      </c>
      <c r="AO5" s="236">
        <f>AM5*AK5</f>
        <v>0</v>
      </c>
      <c r="AP5" s="248">
        <f t="shared" si="26"/>
        <v>1069</v>
      </c>
      <c r="AQ5" s="248">
        <f t="shared" si="27"/>
        <v>410</v>
      </c>
      <c r="AR5" s="239" t="s">
        <v>470</v>
      </c>
      <c r="AS5" s="247">
        <v>0</v>
      </c>
      <c r="AT5" s="247">
        <v>0</v>
      </c>
      <c r="AU5" s="241">
        <f t="shared" si="10"/>
        <v>0</v>
      </c>
      <c r="AV5" s="242">
        <f t="shared" si="11"/>
        <v>204.30107526881721</v>
      </c>
      <c r="AW5" s="242">
        <f t="shared" si="12"/>
        <v>118.27956989247312</v>
      </c>
      <c r="AX5" s="249">
        <f t="shared" si="13"/>
        <v>0</v>
      </c>
      <c r="AY5" s="250">
        <f t="shared" si="14"/>
        <v>0</v>
      </c>
      <c r="AZ5" s="245">
        <v>0</v>
      </c>
      <c r="BA5" s="251">
        <f t="shared" si="15"/>
        <v>0</v>
      </c>
      <c r="BB5" s="242">
        <v>500</v>
      </c>
      <c r="BC5" s="242">
        <v>250</v>
      </c>
      <c r="BD5" s="242">
        <f t="shared" si="16"/>
        <v>0</v>
      </c>
      <c r="BE5" s="236">
        <f t="shared" si="17"/>
        <v>0</v>
      </c>
      <c r="BF5" s="252">
        <f>IF(AZ5=0,ROUNDUP((M5*2*0.025+N5*0.025)*O5+((G5-M5*2*0.025)*(H5-M5*0.025)*2),1),ROUNDUP((M5*2*0.025+N5*0.025)*O5,1))</f>
        <v>2.4</v>
      </c>
      <c r="BG5" s="242">
        <v>30</v>
      </c>
      <c r="BH5" s="242">
        <v>38</v>
      </c>
      <c r="BI5" s="242">
        <f t="shared" si="18"/>
        <v>72</v>
      </c>
      <c r="BJ5" s="236">
        <f t="shared" si="19"/>
        <v>92</v>
      </c>
      <c r="BK5" s="253">
        <f t="shared" si="20"/>
        <v>1543</v>
      </c>
      <c r="BL5" s="253">
        <f t="shared" si="21"/>
        <v>722</v>
      </c>
      <c r="BM5" s="254">
        <f t="shared" si="22"/>
        <v>462.9</v>
      </c>
      <c r="BN5" s="253">
        <f t="shared" si="28"/>
        <v>2100</v>
      </c>
      <c r="BO5" s="253">
        <f t="shared" si="23"/>
        <v>800</v>
      </c>
      <c r="BP5" s="255">
        <f t="shared" si="24"/>
        <v>315</v>
      </c>
    </row>
    <row r="6" spans="1:69" s="256" customFormat="1" ht="24">
      <c r="A6" s="230" t="str">
        <f t="shared" si="0"/>
        <v xml:space="preserve"> - D ประตูไม้เนื้อแข็ง กรุไม้อัดยางกันชื้น บานเลื่อนเดี่ยว ขนาด 1.00x1.00 ม.</v>
      </c>
      <c r="B6" s="231" t="s">
        <v>466</v>
      </c>
      <c r="C6" s="232" t="s">
        <v>473</v>
      </c>
      <c r="D6" s="233"/>
      <c r="E6" s="233"/>
      <c r="F6" s="234">
        <f t="shared" si="1"/>
        <v>0</v>
      </c>
      <c r="G6" s="235" t="s">
        <v>468</v>
      </c>
      <c r="H6" s="235" t="s">
        <v>468</v>
      </c>
      <c r="I6" s="236">
        <f t="shared" si="2"/>
        <v>1</v>
      </c>
      <c r="J6" s="237">
        <f t="shared" si="3"/>
        <v>1800</v>
      </c>
      <c r="K6" s="237">
        <f t="shared" si="3"/>
        <v>600</v>
      </c>
      <c r="L6" s="260"/>
      <c r="M6" s="257">
        <v>0</v>
      </c>
      <c r="N6" s="258">
        <v>0</v>
      </c>
      <c r="O6" s="241">
        <f t="shared" si="4"/>
        <v>0</v>
      </c>
      <c r="P6" s="241">
        <f t="shared" si="5"/>
        <v>335</v>
      </c>
      <c r="Q6" s="242">
        <v>40</v>
      </c>
      <c r="R6" s="242">
        <v>100</v>
      </c>
      <c r="S6" s="243">
        <f>ROUNDUP(O6*P6,0)</f>
        <v>0</v>
      </c>
      <c r="T6" s="244">
        <f t="shared" si="7"/>
        <v>0</v>
      </c>
      <c r="U6" s="245">
        <v>1</v>
      </c>
      <c r="V6" s="257">
        <v>0</v>
      </c>
      <c r="W6" s="259">
        <v>0</v>
      </c>
      <c r="X6" s="259">
        <v>0</v>
      </c>
      <c r="Y6" s="257">
        <f>(G6-M6*2*0.025)*(H6-M6*0.025)-(AI6)</f>
        <v>1</v>
      </c>
      <c r="Z6" s="259">
        <v>1250</v>
      </c>
      <c r="AA6" s="242">
        <v>320</v>
      </c>
      <c r="AB6" s="242">
        <f>105</f>
        <v>105</v>
      </c>
      <c r="AC6" s="242">
        <f>ROUNDUP(V6*W6+Y6*Z6,0)</f>
        <v>1250</v>
      </c>
      <c r="AD6" s="236">
        <f t="shared" si="8"/>
        <v>425</v>
      </c>
      <c r="AE6" s="239" t="s">
        <v>469</v>
      </c>
      <c r="AF6" s="247">
        <v>0</v>
      </c>
      <c r="AG6" s="247">
        <v>0</v>
      </c>
      <c r="AH6" s="247">
        <v>0</v>
      </c>
      <c r="AI6" s="241">
        <f>AF6*AG6*U6</f>
        <v>0</v>
      </c>
      <c r="AJ6" s="241">
        <f>AG6*AH6*U6</f>
        <v>0</v>
      </c>
      <c r="AK6" s="241">
        <f>AH6*U6</f>
        <v>0</v>
      </c>
      <c r="AL6" s="242">
        <v>48</v>
      </c>
      <c r="AM6" s="242">
        <v>27</v>
      </c>
      <c r="AN6" s="242">
        <f>ROUNDUP(AJ6*AL6,0)</f>
        <v>0</v>
      </c>
      <c r="AO6" s="236">
        <f>AM6*AK6</f>
        <v>0</v>
      </c>
      <c r="AP6" s="248">
        <f t="shared" si="26"/>
        <v>1250</v>
      </c>
      <c r="AQ6" s="248">
        <f t="shared" si="27"/>
        <v>425</v>
      </c>
      <c r="AR6" s="239" t="s">
        <v>470</v>
      </c>
      <c r="AS6" s="247">
        <v>0</v>
      </c>
      <c r="AT6" s="247">
        <v>0</v>
      </c>
      <c r="AU6" s="241">
        <f t="shared" si="10"/>
        <v>0</v>
      </c>
      <c r="AV6" s="242">
        <f t="shared" si="11"/>
        <v>204.30107526881721</v>
      </c>
      <c r="AW6" s="242">
        <f t="shared" si="12"/>
        <v>118.27956989247312</v>
      </c>
      <c r="AX6" s="249">
        <f t="shared" si="13"/>
        <v>0</v>
      </c>
      <c r="AY6" s="250">
        <f t="shared" si="14"/>
        <v>0</v>
      </c>
      <c r="AZ6" s="245">
        <v>0</v>
      </c>
      <c r="BA6" s="251">
        <f t="shared" si="15"/>
        <v>0</v>
      </c>
      <c r="BB6" s="242">
        <v>500</v>
      </c>
      <c r="BC6" s="242">
        <v>250</v>
      </c>
      <c r="BD6" s="242">
        <f>ROUNDUP(BA6*BB6,0)</f>
        <v>0</v>
      </c>
      <c r="BE6" s="236">
        <f>ROUNDUP(BA6*BC6,0)</f>
        <v>0</v>
      </c>
      <c r="BF6" s="252">
        <f>IF(AZ6=0,ROUNDUP((M6*2*0.025+N6*0.025)*O6+((G6-M6*2*0.025)*(H6-M6*0.025)*2),1),ROUNDUP((M6*2*0.025+N6*0.025)*O6,1))</f>
        <v>2</v>
      </c>
      <c r="BG6" s="242">
        <v>30</v>
      </c>
      <c r="BH6" s="242">
        <v>38</v>
      </c>
      <c r="BI6" s="242">
        <f>ROUNDUP(BF6*BG6,0)</f>
        <v>60</v>
      </c>
      <c r="BJ6" s="236">
        <f>ROUNDUP(BF6*BH6,0)</f>
        <v>76</v>
      </c>
      <c r="BK6" s="253">
        <f t="shared" si="20"/>
        <v>1310</v>
      </c>
      <c r="BL6" s="253">
        <f t="shared" si="21"/>
        <v>501</v>
      </c>
      <c r="BM6" s="254">
        <f>BK6*30%</f>
        <v>393</v>
      </c>
      <c r="BN6" s="253">
        <f>ROUNDUP(BK6+BM6,-2)</f>
        <v>1800</v>
      </c>
      <c r="BO6" s="253">
        <f>ROUNDUP(BL6,-2)</f>
        <v>600</v>
      </c>
      <c r="BP6" s="255">
        <f>BN6*15%</f>
        <v>270</v>
      </c>
    </row>
    <row r="7" spans="1:69" s="256" customFormat="1" ht="48">
      <c r="A7" s="230" t="str">
        <f t="shared" si="0"/>
        <v xml:space="preserve"> - D ประตูวงกบไม้เนื้อแข็ง บานเปิดเดี่ยว ลูกฟักกระจกใสหนา 6 มม. ขนาด 1.00x1.00 ม.</v>
      </c>
      <c r="B7" s="231" t="s">
        <v>466</v>
      </c>
      <c r="C7" s="232" t="s">
        <v>474</v>
      </c>
      <c r="D7" s="233"/>
      <c r="E7" s="233"/>
      <c r="F7" s="234">
        <f t="shared" si="1"/>
        <v>0</v>
      </c>
      <c r="G7" s="235" t="s">
        <v>468</v>
      </c>
      <c r="H7" s="235" t="s">
        <v>468</v>
      </c>
      <c r="I7" s="236">
        <f t="shared" si="2"/>
        <v>1</v>
      </c>
      <c r="J7" s="237">
        <f t="shared" si="3"/>
        <v>2500</v>
      </c>
      <c r="K7" s="237">
        <f t="shared" si="3"/>
        <v>1000</v>
      </c>
      <c r="L7" s="238"/>
      <c r="M7" s="239">
        <v>2</v>
      </c>
      <c r="N7" s="240">
        <v>4</v>
      </c>
      <c r="O7" s="241">
        <f t="shared" si="4"/>
        <v>3</v>
      </c>
      <c r="P7" s="241">
        <f t="shared" si="5"/>
        <v>134</v>
      </c>
      <c r="Q7" s="242">
        <v>40</v>
      </c>
      <c r="R7" s="242">
        <v>100</v>
      </c>
      <c r="S7" s="243">
        <f t="shared" si="6"/>
        <v>402</v>
      </c>
      <c r="T7" s="244">
        <f t="shared" si="7"/>
        <v>220</v>
      </c>
      <c r="U7" s="245">
        <v>1</v>
      </c>
      <c r="V7" s="246">
        <f>(G7-M7*2*0.025)*2+(H7-M7*0.025)*2*U7</f>
        <v>3.7</v>
      </c>
      <c r="W7" s="242">
        <v>170</v>
      </c>
      <c r="X7" s="242">
        <v>230</v>
      </c>
      <c r="Y7" s="246">
        <f>(G7-M7*2*0.025-0.0635*U7)*(H7-M7*0.025-0.0635)-(AI7)</f>
        <v>0.73155724999999994</v>
      </c>
      <c r="Z7" s="242">
        <v>1100</v>
      </c>
      <c r="AA7" s="242">
        <v>320</v>
      </c>
      <c r="AB7" s="242">
        <f>105</f>
        <v>105</v>
      </c>
      <c r="AC7" s="242">
        <f t="shared" si="25"/>
        <v>1434</v>
      </c>
      <c r="AD7" s="236">
        <f t="shared" si="8"/>
        <v>640</v>
      </c>
      <c r="AE7" s="261" t="s">
        <v>470</v>
      </c>
      <c r="AF7" s="262">
        <v>0.1</v>
      </c>
      <c r="AG7" s="262">
        <v>0.1</v>
      </c>
      <c r="AH7" s="263">
        <v>0</v>
      </c>
      <c r="AI7" s="264">
        <f t="shared" si="9"/>
        <v>1.0000000000000002E-2</v>
      </c>
      <c r="AJ7" s="264">
        <v>0</v>
      </c>
      <c r="AK7" s="264">
        <v>0</v>
      </c>
      <c r="AL7" s="259">
        <f>19/0.093</f>
        <v>204.30107526881721</v>
      </c>
      <c r="AM7" s="259">
        <f>11/0.093</f>
        <v>118.27956989247312</v>
      </c>
      <c r="AN7" s="242">
        <f>ROUNDUP(AI7*AL7,0)</f>
        <v>3</v>
      </c>
      <c r="AO7" s="236">
        <f>AM7*AI7</f>
        <v>1.1827956989247315</v>
      </c>
      <c r="AP7" s="248">
        <f t="shared" si="26"/>
        <v>1437</v>
      </c>
      <c r="AQ7" s="248">
        <f t="shared" si="27"/>
        <v>642</v>
      </c>
      <c r="AR7" s="239" t="s">
        <v>470</v>
      </c>
      <c r="AS7" s="247">
        <v>0</v>
      </c>
      <c r="AT7" s="247">
        <v>0</v>
      </c>
      <c r="AU7" s="241">
        <f t="shared" si="10"/>
        <v>0</v>
      </c>
      <c r="AV7" s="242">
        <f>19/0.093</f>
        <v>204.30107526881721</v>
      </c>
      <c r="AW7" s="242">
        <f>11/0.093</f>
        <v>118.27956989247312</v>
      </c>
      <c r="AX7" s="249">
        <f t="shared" si="13"/>
        <v>0</v>
      </c>
      <c r="AY7" s="250">
        <f t="shared" si="14"/>
        <v>0</v>
      </c>
      <c r="AZ7" s="245">
        <v>0</v>
      </c>
      <c r="BA7" s="251">
        <f t="shared" si="15"/>
        <v>0</v>
      </c>
      <c r="BB7" s="242">
        <v>500</v>
      </c>
      <c r="BC7" s="242">
        <v>250</v>
      </c>
      <c r="BD7" s="242">
        <f t="shared" si="16"/>
        <v>0</v>
      </c>
      <c r="BE7" s="236">
        <f t="shared" si="17"/>
        <v>0</v>
      </c>
      <c r="BF7" s="265">
        <f>IF(AZ7=0,ROUNDUP((M7*2*0.025+N7*0.025)*O7+((G7-M7*2*0.025)*(H7-M7*0.025)*2-AI7*2),1),ROUNDUP((M7*2*0.025+N7*0.025)*O7,1))</f>
        <v>2.3000000000000003</v>
      </c>
      <c r="BG7" s="259">
        <v>30</v>
      </c>
      <c r="BH7" s="259">
        <v>38</v>
      </c>
      <c r="BI7" s="259">
        <f t="shared" si="18"/>
        <v>69</v>
      </c>
      <c r="BJ7" s="266">
        <f t="shared" si="19"/>
        <v>88</v>
      </c>
      <c r="BK7" s="253">
        <f t="shared" si="20"/>
        <v>1908</v>
      </c>
      <c r="BL7" s="253">
        <f t="shared" si="21"/>
        <v>949.18279569892468</v>
      </c>
      <c r="BM7" s="254">
        <f t="shared" si="22"/>
        <v>572.4</v>
      </c>
      <c r="BN7" s="253">
        <f t="shared" si="28"/>
        <v>2500</v>
      </c>
      <c r="BO7" s="253">
        <f t="shared" si="23"/>
        <v>1000</v>
      </c>
      <c r="BP7" s="255">
        <f t="shared" si="24"/>
        <v>375</v>
      </c>
    </row>
    <row r="8" spans="1:69" s="269" customFormat="1" ht="48">
      <c r="A8" s="230" t="str">
        <f t="shared" si="0"/>
        <v xml:space="preserve"> - D ประตูวงกบไม้เนื้อแข็ง กรุไม้อัดยางกันชื้น บานเปิดเดี่ยว พร้อมช่องแสงกระจกฝ้า หนา 6 มม. ขนาด 1.00x1.00 ม.</v>
      </c>
      <c r="B8" s="231" t="s">
        <v>466</v>
      </c>
      <c r="C8" s="232" t="s">
        <v>475</v>
      </c>
      <c r="D8" s="233"/>
      <c r="E8" s="233"/>
      <c r="F8" s="234">
        <f t="shared" si="1"/>
        <v>0</v>
      </c>
      <c r="G8" s="235" t="s">
        <v>468</v>
      </c>
      <c r="H8" s="235" t="s">
        <v>468</v>
      </c>
      <c r="I8" s="236">
        <f t="shared" si="2"/>
        <v>1</v>
      </c>
      <c r="J8" s="237">
        <f t="shared" si="3"/>
        <v>2200</v>
      </c>
      <c r="K8" s="237">
        <f t="shared" si="3"/>
        <v>800</v>
      </c>
      <c r="L8" s="260"/>
      <c r="M8" s="239">
        <v>2</v>
      </c>
      <c r="N8" s="240">
        <v>4</v>
      </c>
      <c r="O8" s="267">
        <f>IF(M8=0,0,G8*2+H8*2)</f>
        <v>4</v>
      </c>
      <c r="P8" s="241">
        <f t="shared" si="5"/>
        <v>134</v>
      </c>
      <c r="Q8" s="242">
        <v>40</v>
      </c>
      <c r="R8" s="242">
        <v>100</v>
      </c>
      <c r="S8" s="243">
        <f t="shared" si="6"/>
        <v>536</v>
      </c>
      <c r="T8" s="244">
        <f t="shared" si="7"/>
        <v>260</v>
      </c>
      <c r="U8" s="245">
        <v>1</v>
      </c>
      <c r="V8" s="257">
        <v>0</v>
      </c>
      <c r="W8" s="259">
        <v>0</v>
      </c>
      <c r="X8" s="259">
        <v>0</v>
      </c>
      <c r="Y8" s="268">
        <f>(G8-M8*2*0.025)*(H8-M8*0.025)-(AI8)</f>
        <v>0.85499999999999998</v>
      </c>
      <c r="Z8" s="259">
        <v>1250</v>
      </c>
      <c r="AA8" s="242">
        <v>320</v>
      </c>
      <c r="AB8" s="242">
        <f>105</f>
        <v>105</v>
      </c>
      <c r="AC8" s="242">
        <f t="shared" si="25"/>
        <v>1069</v>
      </c>
      <c r="AD8" s="236">
        <f t="shared" si="8"/>
        <v>410</v>
      </c>
      <c r="AE8" s="239" t="s">
        <v>469</v>
      </c>
      <c r="AF8" s="247">
        <v>0</v>
      </c>
      <c r="AG8" s="247">
        <v>0</v>
      </c>
      <c r="AH8" s="247">
        <v>0</v>
      </c>
      <c r="AI8" s="241">
        <f>AF8*AG8*U8</f>
        <v>0</v>
      </c>
      <c r="AJ8" s="241">
        <f t="shared" ref="AJ8:AJ14" si="29">AG8*AH8*U8</f>
        <v>0</v>
      </c>
      <c r="AK8" s="241">
        <f t="shared" ref="AK8:AK14" si="30">AH8*U8</f>
        <v>0</v>
      </c>
      <c r="AL8" s="242">
        <v>48</v>
      </c>
      <c r="AM8" s="242">
        <v>27</v>
      </c>
      <c r="AN8" s="242">
        <f t="shared" ref="AN8:AN14" si="31">ROUNDUP(AJ8*AL8,0)</f>
        <v>0</v>
      </c>
      <c r="AO8" s="236">
        <f t="shared" ref="AO8:AO14" si="32">AM8*AK8</f>
        <v>0</v>
      </c>
      <c r="AP8" s="248">
        <f t="shared" si="26"/>
        <v>1069</v>
      </c>
      <c r="AQ8" s="248">
        <f t="shared" si="27"/>
        <v>410</v>
      </c>
      <c r="AR8" s="261" t="s">
        <v>476</v>
      </c>
      <c r="AS8" s="262">
        <v>0.1</v>
      </c>
      <c r="AT8" s="262">
        <v>0.1</v>
      </c>
      <c r="AU8" s="241">
        <f t="shared" si="10"/>
        <v>1.0000000000000002E-2</v>
      </c>
      <c r="AV8" s="259">
        <f>31/0.093</f>
        <v>333.33333333333331</v>
      </c>
      <c r="AW8" s="259">
        <f>10/0.093</f>
        <v>107.52688172043011</v>
      </c>
      <c r="AX8" s="249">
        <f t="shared" si="13"/>
        <v>4</v>
      </c>
      <c r="AY8" s="250">
        <f t="shared" si="14"/>
        <v>2</v>
      </c>
      <c r="AZ8" s="245">
        <v>0</v>
      </c>
      <c r="BA8" s="251">
        <f t="shared" si="15"/>
        <v>0</v>
      </c>
      <c r="BB8" s="242">
        <v>500</v>
      </c>
      <c r="BC8" s="242">
        <v>250</v>
      </c>
      <c r="BD8" s="242">
        <f t="shared" si="16"/>
        <v>0</v>
      </c>
      <c r="BE8" s="236">
        <f t="shared" si="17"/>
        <v>0</v>
      </c>
      <c r="BF8" s="252">
        <f>IF(AZ8=0,ROUNDUP((M8*2*0.025+N8*0.025)*O8+((G8-M8*2*0.025)*(H8-M8*0.025)*2),1),ROUNDUP((M8*2*0.025+N8*0.025)*O8,1))</f>
        <v>2.6</v>
      </c>
      <c r="BG8" s="259">
        <v>30</v>
      </c>
      <c r="BH8" s="259">
        <v>38</v>
      </c>
      <c r="BI8" s="259">
        <f t="shared" si="18"/>
        <v>78</v>
      </c>
      <c r="BJ8" s="266">
        <f t="shared" si="19"/>
        <v>99</v>
      </c>
      <c r="BK8" s="253">
        <f t="shared" si="20"/>
        <v>1687</v>
      </c>
      <c r="BL8" s="253">
        <f t="shared" si="21"/>
        <v>771</v>
      </c>
      <c r="BM8" s="254">
        <f t="shared" si="22"/>
        <v>506.09999999999997</v>
      </c>
      <c r="BN8" s="253">
        <f t="shared" si="28"/>
        <v>2200</v>
      </c>
      <c r="BO8" s="253">
        <f t="shared" si="23"/>
        <v>800</v>
      </c>
      <c r="BP8" s="255">
        <f t="shared" si="24"/>
        <v>330</v>
      </c>
    </row>
    <row r="9" spans="1:69" s="269" customFormat="1" ht="48">
      <c r="A9" s="230" t="str">
        <f t="shared" si="0"/>
        <v xml:space="preserve"> - D ประตูวงกบไม้เนื้อแข็ง บานเปิดเดี่ยว พร้อมช่องแสงกระจกลามิเนต หนา 3+3 มม. ขนาด 1.00x1.00 ม.</v>
      </c>
      <c r="B9" s="231" t="s">
        <v>466</v>
      </c>
      <c r="C9" s="232" t="s">
        <v>477</v>
      </c>
      <c r="D9" s="233"/>
      <c r="E9" s="233"/>
      <c r="F9" s="234">
        <f t="shared" si="1"/>
        <v>0</v>
      </c>
      <c r="G9" s="235" t="s">
        <v>468</v>
      </c>
      <c r="H9" s="235" t="s">
        <v>468</v>
      </c>
      <c r="I9" s="236">
        <f t="shared" si="2"/>
        <v>1</v>
      </c>
      <c r="J9" s="237">
        <f t="shared" si="3"/>
        <v>4900</v>
      </c>
      <c r="K9" s="237">
        <f t="shared" si="3"/>
        <v>1100</v>
      </c>
      <c r="L9" s="260"/>
      <c r="M9" s="239">
        <v>2</v>
      </c>
      <c r="N9" s="240">
        <v>4</v>
      </c>
      <c r="O9" s="267">
        <f>IF(M9=0,0,G9*2+H9*2)</f>
        <v>4</v>
      </c>
      <c r="P9" s="241">
        <f t="shared" si="5"/>
        <v>134</v>
      </c>
      <c r="Q9" s="242">
        <v>40</v>
      </c>
      <c r="R9" s="242">
        <v>100</v>
      </c>
      <c r="S9" s="243">
        <f t="shared" si="6"/>
        <v>536</v>
      </c>
      <c r="T9" s="244">
        <f t="shared" si="7"/>
        <v>260</v>
      </c>
      <c r="U9" s="245">
        <v>1</v>
      </c>
      <c r="V9" s="270">
        <f>(G9-M9*2*0.025)*2+(2)*2*U9</f>
        <v>5.8</v>
      </c>
      <c r="W9" s="271">
        <v>170</v>
      </c>
      <c r="X9" s="271">
        <v>230</v>
      </c>
      <c r="Y9" s="245">
        <f>(G9-M9*2*0.025-0.0635*U9)*(2-0.0635)-(AI9)</f>
        <v>1.6198822500000001</v>
      </c>
      <c r="Z9" s="271">
        <v>1100</v>
      </c>
      <c r="AA9" s="271">
        <v>320</v>
      </c>
      <c r="AB9" s="271">
        <f>105</f>
        <v>105</v>
      </c>
      <c r="AC9" s="271">
        <v>2890</v>
      </c>
      <c r="AD9" s="272">
        <f t="shared" si="8"/>
        <v>640</v>
      </c>
      <c r="AE9" s="239" t="s">
        <v>469</v>
      </c>
      <c r="AF9" s="247">
        <v>0</v>
      </c>
      <c r="AG9" s="247">
        <v>0</v>
      </c>
      <c r="AH9" s="247">
        <v>0</v>
      </c>
      <c r="AI9" s="241">
        <f>AF9*AG9*U9</f>
        <v>0</v>
      </c>
      <c r="AJ9" s="241">
        <f t="shared" si="29"/>
        <v>0</v>
      </c>
      <c r="AK9" s="241">
        <f t="shared" si="30"/>
        <v>0</v>
      </c>
      <c r="AL9" s="242">
        <v>48</v>
      </c>
      <c r="AM9" s="242">
        <v>27</v>
      </c>
      <c r="AN9" s="242">
        <f t="shared" si="31"/>
        <v>0</v>
      </c>
      <c r="AO9" s="236">
        <f t="shared" si="32"/>
        <v>0</v>
      </c>
      <c r="AP9" s="248">
        <f t="shared" si="26"/>
        <v>2890</v>
      </c>
      <c r="AQ9" s="248">
        <f t="shared" si="27"/>
        <v>640</v>
      </c>
      <c r="AR9" s="261" t="s">
        <v>478</v>
      </c>
      <c r="AS9" s="262">
        <v>0.4</v>
      </c>
      <c r="AT9" s="262">
        <v>0.9</v>
      </c>
      <c r="AU9" s="241">
        <f t="shared" si="10"/>
        <v>0.36000000000000004</v>
      </c>
      <c r="AV9" s="259">
        <f>60/0.093</f>
        <v>645.16129032258061</v>
      </c>
      <c r="AW9" s="259">
        <f>10/0.093</f>
        <v>107.52688172043011</v>
      </c>
      <c r="AX9" s="249">
        <f t="shared" si="13"/>
        <v>233</v>
      </c>
      <c r="AY9" s="250">
        <f t="shared" si="14"/>
        <v>39</v>
      </c>
      <c r="AZ9" s="245">
        <v>0</v>
      </c>
      <c r="BA9" s="251">
        <f t="shared" si="15"/>
        <v>0</v>
      </c>
      <c r="BB9" s="242">
        <v>500</v>
      </c>
      <c r="BC9" s="242">
        <v>250</v>
      </c>
      <c r="BD9" s="242">
        <f t="shared" si="16"/>
        <v>0</v>
      </c>
      <c r="BE9" s="236">
        <f t="shared" si="17"/>
        <v>0</v>
      </c>
      <c r="BF9" s="252">
        <f>IF(AZ9=0,ROUNDUP((M9*2*0.025+N9*0.025)*O9+((G9-M9*2*0.025)*(H9-M9*0.025)*2),1),ROUNDUP((M9*2*0.025+N9*0.025)*O9,1))</f>
        <v>2.6</v>
      </c>
      <c r="BG9" s="259">
        <v>30</v>
      </c>
      <c r="BH9" s="259">
        <v>38</v>
      </c>
      <c r="BI9" s="259">
        <f t="shared" si="18"/>
        <v>78</v>
      </c>
      <c r="BJ9" s="266">
        <f t="shared" si="19"/>
        <v>99</v>
      </c>
      <c r="BK9" s="253">
        <f t="shared" si="20"/>
        <v>3737</v>
      </c>
      <c r="BL9" s="253">
        <f t="shared" si="21"/>
        <v>1038</v>
      </c>
      <c r="BM9" s="254">
        <f t="shared" si="22"/>
        <v>1121.0999999999999</v>
      </c>
      <c r="BN9" s="253">
        <f t="shared" si="28"/>
        <v>4900</v>
      </c>
      <c r="BO9" s="253">
        <f t="shared" si="23"/>
        <v>1100</v>
      </c>
      <c r="BP9" s="255">
        <f t="shared" si="24"/>
        <v>735</v>
      </c>
    </row>
    <row r="10" spans="1:69" s="256" customFormat="1" ht="48">
      <c r="A10" s="230" t="str">
        <f t="shared" si="0"/>
        <v xml:space="preserve"> - D วงกบบานประตู UPVC บานเปิดเดี่ยว ลูกฟักเกล็ดระบายอากาศ ขนาด 1.00x1.00 ม.</v>
      </c>
      <c r="B10" s="231" t="s">
        <v>466</v>
      </c>
      <c r="C10" s="232" t="s">
        <v>479</v>
      </c>
      <c r="D10" s="273" t="s">
        <v>480</v>
      </c>
      <c r="E10" s="273" t="s">
        <v>481</v>
      </c>
      <c r="F10" s="234">
        <f t="shared" si="1"/>
        <v>0</v>
      </c>
      <c r="G10" s="235" t="s">
        <v>468</v>
      </c>
      <c r="H10" s="235" t="s">
        <v>468</v>
      </c>
      <c r="I10" s="236">
        <f t="shared" si="2"/>
        <v>1</v>
      </c>
      <c r="J10" s="237">
        <f t="shared" si="3"/>
        <v>2600</v>
      </c>
      <c r="K10" s="237">
        <f t="shared" si="3"/>
        <v>200</v>
      </c>
      <c r="L10" s="238"/>
      <c r="M10" s="239">
        <v>2</v>
      </c>
      <c r="N10" s="240">
        <v>4</v>
      </c>
      <c r="O10" s="241">
        <f t="shared" si="4"/>
        <v>3</v>
      </c>
      <c r="P10" s="264">
        <f>ROUNDUP(1397.79/(0.8+2*2),0)</f>
        <v>292</v>
      </c>
      <c r="Q10" s="259">
        <v>0</v>
      </c>
      <c r="R10" s="259">
        <v>0</v>
      </c>
      <c r="S10" s="243">
        <f t="shared" si="6"/>
        <v>876</v>
      </c>
      <c r="T10" s="244">
        <f t="shared" si="7"/>
        <v>0</v>
      </c>
      <c r="U10" s="245">
        <v>1</v>
      </c>
      <c r="V10" s="257">
        <v>0</v>
      </c>
      <c r="W10" s="259">
        <v>0</v>
      </c>
      <c r="X10" s="259">
        <v>0</v>
      </c>
      <c r="Y10" s="257">
        <f>(G10-M10*2*0.025)*(H10-M10*0.025)-(AI10)</f>
        <v>0.85499999999999998</v>
      </c>
      <c r="Z10" s="259">
        <f>ROUNDUP(1763.47/(0.7*2),0)</f>
        <v>1260</v>
      </c>
      <c r="AA10" s="259">
        <v>180</v>
      </c>
      <c r="AB10" s="259">
        <v>0</v>
      </c>
      <c r="AC10" s="242">
        <f t="shared" si="25"/>
        <v>1078</v>
      </c>
      <c r="AD10" s="236">
        <f t="shared" si="8"/>
        <v>180</v>
      </c>
      <c r="AE10" s="239" t="s">
        <v>469</v>
      </c>
      <c r="AF10" s="247">
        <v>0</v>
      </c>
      <c r="AG10" s="247">
        <v>0</v>
      </c>
      <c r="AH10" s="247">
        <v>0</v>
      </c>
      <c r="AI10" s="241">
        <f t="shared" si="9"/>
        <v>0</v>
      </c>
      <c r="AJ10" s="241">
        <f t="shared" si="29"/>
        <v>0</v>
      </c>
      <c r="AK10" s="241">
        <f t="shared" si="30"/>
        <v>0</v>
      </c>
      <c r="AL10" s="242">
        <v>48</v>
      </c>
      <c r="AM10" s="242">
        <v>27</v>
      </c>
      <c r="AN10" s="242">
        <f t="shared" si="31"/>
        <v>0</v>
      </c>
      <c r="AO10" s="236">
        <f t="shared" si="32"/>
        <v>0</v>
      </c>
      <c r="AP10" s="248">
        <f t="shared" si="26"/>
        <v>1078</v>
      </c>
      <c r="AQ10" s="248">
        <f t="shared" si="27"/>
        <v>180</v>
      </c>
      <c r="AR10" s="239" t="s">
        <v>470</v>
      </c>
      <c r="AS10" s="247">
        <v>0</v>
      </c>
      <c r="AT10" s="247">
        <v>0</v>
      </c>
      <c r="AU10" s="241">
        <f t="shared" si="10"/>
        <v>0</v>
      </c>
      <c r="AV10" s="242">
        <f t="shared" ref="AV10:AV14" si="33">19/0.093</f>
        <v>204.30107526881721</v>
      </c>
      <c r="AW10" s="242">
        <f t="shared" ref="AW10:AW14" si="34">11/0.093</f>
        <v>118.27956989247312</v>
      </c>
      <c r="AX10" s="249">
        <f t="shared" si="13"/>
        <v>0</v>
      </c>
      <c r="AY10" s="250">
        <f t="shared" si="14"/>
        <v>0</v>
      </c>
      <c r="AZ10" s="245">
        <v>0</v>
      </c>
      <c r="BA10" s="251">
        <f t="shared" si="15"/>
        <v>0</v>
      </c>
      <c r="BB10" s="242">
        <v>500</v>
      </c>
      <c r="BC10" s="242">
        <v>250</v>
      </c>
      <c r="BD10" s="242">
        <f t="shared" si="16"/>
        <v>0</v>
      </c>
      <c r="BE10" s="236">
        <f t="shared" si="17"/>
        <v>0</v>
      </c>
      <c r="BF10" s="252">
        <v>0</v>
      </c>
      <c r="BG10" s="259">
        <v>30</v>
      </c>
      <c r="BH10" s="259">
        <v>38</v>
      </c>
      <c r="BI10" s="259">
        <f t="shared" si="18"/>
        <v>0</v>
      </c>
      <c r="BJ10" s="266">
        <f t="shared" si="19"/>
        <v>0</v>
      </c>
      <c r="BK10" s="253">
        <f t="shared" si="20"/>
        <v>1954</v>
      </c>
      <c r="BL10" s="253">
        <f t="shared" si="21"/>
        <v>180</v>
      </c>
      <c r="BM10" s="254">
        <f t="shared" si="22"/>
        <v>586.19999999999993</v>
      </c>
      <c r="BN10" s="253">
        <f t="shared" si="28"/>
        <v>2600</v>
      </c>
      <c r="BO10" s="253">
        <f t="shared" si="23"/>
        <v>200</v>
      </c>
      <c r="BP10" s="255">
        <f t="shared" si="24"/>
        <v>390</v>
      </c>
    </row>
    <row r="11" spans="1:69" s="256" customFormat="1" ht="24">
      <c r="A11" s="230" t="str">
        <f t="shared" si="0"/>
        <v xml:space="preserve"> - D วงกบไม้เนื้อแข็ง บานประตู UPVC บานเปิดเดี่ยว ขนาด 1.00x1.00 ม.</v>
      </c>
      <c r="B11" s="239" t="s">
        <v>466</v>
      </c>
      <c r="C11" s="232" t="s">
        <v>482</v>
      </c>
      <c r="D11" s="233"/>
      <c r="E11" s="273" t="s">
        <v>483</v>
      </c>
      <c r="F11" s="234">
        <f t="shared" si="1"/>
        <v>0</v>
      </c>
      <c r="G11" s="235" t="s">
        <v>468</v>
      </c>
      <c r="H11" s="235" t="s">
        <v>468</v>
      </c>
      <c r="I11" s="236">
        <f t="shared" si="2"/>
        <v>1</v>
      </c>
      <c r="J11" s="237">
        <f t="shared" si="3"/>
        <v>1900</v>
      </c>
      <c r="K11" s="237">
        <f t="shared" si="3"/>
        <v>400</v>
      </c>
      <c r="L11" s="238"/>
      <c r="M11" s="239">
        <v>2</v>
      </c>
      <c r="N11" s="240">
        <v>4</v>
      </c>
      <c r="O11" s="241">
        <f t="shared" si="4"/>
        <v>3</v>
      </c>
      <c r="P11" s="241">
        <f t="shared" ref="P11:P14" si="35">IF(N11=4,134,335)</f>
        <v>134</v>
      </c>
      <c r="Q11" s="242">
        <v>40</v>
      </c>
      <c r="R11" s="242">
        <v>100</v>
      </c>
      <c r="S11" s="243">
        <f t="shared" si="6"/>
        <v>402</v>
      </c>
      <c r="T11" s="244">
        <f t="shared" si="7"/>
        <v>220</v>
      </c>
      <c r="U11" s="245">
        <v>1</v>
      </c>
      <c r="V11" s="257">
        <v>0</v>
      </c>
      <c r="W11" s="259">
        <v>0</v>
      </c>
      <c r="X11" s="259">
        <v>0</v>
      </c>
      <c r="Y11" s="257">
        <f>(G11-M11*2*0.025)*(H11-M11*0.025)-(AI11)</f>
        <v>0.85499999999999998</v>
      </c>
      <c r="Z11" s="259">
        <f>ROUNDUP(1684.39/(0.7*2),0)</f>
        <v>1204</v>
      </c>
      <c r="AA11" s="259">
        <v>180</v>
      </c>
      <c r="AB11" s="259">
        <v>0</v>
      </c>
      <c r="AC11" s="242">
        <f t="shared" si="25"/>
        <v>1030</v>
      </c>
      <c r="AD11" s="236">
        <f t="shared" si="8"/>
        <v>180</v>
      </c>
      <c r="AE11" s="239" t="s">
        <v>469</v>
      </c>
      <c r="AF11" s="247">
        <v>0</v>
      </c>
      <c r="AG11" s="247">
        <v>0</v>
      </c>
      <c r="AH11" s="247">
        <v>0</v>
      </c>
      <c r="AI11" s="241">
        <f t="shared" si="9"/>
        <v>0</v>
      </c>
      <c r="AJ11" s="241">
        <f t="shared" si="29"/>
        <v>0</v>
      </c>
      <c r="AK11" s="241">
        <f t="shared" si="30"/>
        <v>0</v>
      </c>
      <c r="AL11" s="242">
        <v>48</v>
      </c>
      <c r="AM11" s="242">
        <v>27</v>
      </c>
      <c r="AN11" s="242">
        <f t="shared" si="31"/>
        <v>0</v>
      </c>
      <c r="AO11" s="236">
        <f t="shared" si="32"/>
        <v>0</v>
      </c>
      <c r="AP11" s="248">
        <f t="shared" si="26"/>
        <v>1030</v>
      </c>
      <c r="AQ11" s="248">
        <f t="shared" si="27"/>
        <v>180</v>
      </c>
      <c r="AR11" s="239" t="s">
        <v>470</v>
      </c>
      <c r="AS11" s="247">
        <v>0</v>
      </c>
      <c r="AT11" s="247">
        <v>0</v>
      </c>
      <c r="AU11" s="241">
        <f t="shared" si="10"/>
        <v>0</v>
      </c>
      <c r="AV11" s="242">
        <f t="shared" si="33"/>
        <v>204.30107526881721</v>
      </c>
      <c r="AW11" s="242">
        <f t="shared" si="34"/>
        <v>118.27956989247312</v>
      </c>
      <c r="AX11" s="249">
        <f t="shared" si="13"/>
        <v>0</v>
      </c>
      <c r="AY11" s="250">
        <f t="shared" si="14"/>
        <v>0</v>
      </c>
      <c r="AZ11" s="245">
        <v>0</v>
      </c>
      <c r="BA11" s="251">
        <f t="shared" si="15"/>
        <v>0</v>
      </c>
      <c r="BB11" s="242">
        <v>500</v>
      </c>
      <c r="BC11" s="242">
        <v>250</v>
      </c>
      <c r="BD11" s="242">
        <f t="shared" si="16"/>
        <v>0</v>
      </c>
      <c r="BE11" s="236">
        <f t="shared" si="17"/>
        <v>0</v>
      </c>
      <c r="BF11" s="252">
        <v>0</v>
      </c>
      <c r="BG11" s="259">
        <v>30</v>
      </c>
      <c r="BH11" s="259">
        <v>38</v>
      </c>
      <c r="BI11" s="259">
        <f t="shared" si="18"/>
        <v>0</v>
      </c>
      <c r="BJ11" s="266">
        <f t="shared" si="19"/>
        <v>0</v>
      </c>
      <c r="BK11" s="253">
        <f t="shared" si="20"/>
        <v>1432</v>
      </c>
      <c r="BL11" s="253">
        <f t="shared" si="21"/>
        <v>400</v>
      </c>
      <c r="BM11" s="254">
        <f t="shared" si="22"/>
        <v>429.59999999999997</v>
      </c>
      <c r="BN11" s="253">
        <f t="shared" si="28"/>
        <v>1900</v>
      </c>
      <c r="BO11" s="253">
        <f t="shared" si="23"/>
        <v>400</v>
      </c>
      <c r="BP11" s="255">
        <f t="shared" si="24"/>
        <v>285</v>
      </c>
    </row>
    <row r="12" spans="1:69" s="256" customFormat="1" ht="24">
      <c r="A12" s="230" t="str">
        <f t="shared" si="0"/>
        <v xml:space="preserve"> - D วงกบไม้เนื้อแข็ง บานประตูสำเร็จรูป บานเปิดเดี่ยว ขนาด 1.00x1.00 ม.</v>
      </c>
      <c r="B12" s="239" t="s">
        <v>466</v>
      </c>
      <c r="C12" s="232" t="s">
        <v>484</v>
      </c>
      <c r="D12" s="233"/>
      <c r="E12" s="274"/>
      <c r="F12" s="234">
        <f t="shared" si="1"/>
        <v>0</v>
      </c>
      <c r="G12" s="235" t="s">
        <v>468</v>
      </c>
      <c r="H12" s="235" t="s">
        <v>468</v>
      </c>
      <c r="I12" s="236">
        <f t="shared" si="2"/>
        <v>1</v>
      </c>
      <c r="J12" s="237">
        <f t="shared" si="3"/>
        <v>1900</v>
      </c>
      <c r="K12" s="237">
        <f t="shared" si="3"/>
        <v>400</v>
      </c>
      <c r="L12" s="238"/>
      <c r="M12" s="239">
        <v>2</v>
      </c>
      <c r="N12" s="240">
        <v>4</v>
      </c>
      <c r="O12" s="241">
        <f t="shared" si="4"/>
        <v>3</v>
      </c>
      <c r="P12" s="241">
        <f t="shared" si="35"/>
        <v>134</v>
      </c>
      <c r="Q12" s="242">
        <v>40</v>
      </c>
      <c r="R12" s="242">
        <v>100</v>
      </c>
      <c r="S12" s="243">
        <f t="shared" si="6"/>
        <v>402</v>
      </c>
      <c r="T12" s="244">
        <f t="shared" si="7"/>
        <v>220</v>
      </c>
      <c r="U12" s="245">
        <v>1</v>
      </c>
      <c r="V12" s="257">
        <v>0</v>
      </c>
      <c r="W12" s="259">
        <v>0</v>
      </c>
      <c r="X12" s="259">
        <v>0</v>
      </c>
      <c r="Y12" s="257">
        <f t="shared" ref="Y12:Y13" si="36">U12</f>
        <v>1</v>
      </c>
      <c r="Z12" s="275">
        <v>1000</v>
      </c>
      <c r="AA12" s="259">
        <v>180</v>
      </c>
      <c r="AB12" s="259">
        <v>0</v>
      </c>
      <c r="AC12" s="242">
        <f>ROUNDUP(V12*W12+Y12*Z12,0)</f>
        <v>1000</v>
      </c>
      <c r="AD12" s="236">
        <f t="shared" si="8"/>
        <v>180</v>
      </c>
      <c r="AE12" s="239" t="s">
        <v>469</v>
      </c>
      <c r="AF12" s="247">
        <v>0</v>
      </c>
      <c r="AG12" s="247">
        <v>0</v>
      </c>
      <c r="AH12" s="247">
        <v>0</v>
      </c>
      <c r="AI12" s="241">
        <f t="shared" si="9"/>
        <v>0</v>
      </c>
      <c r="AJ12" s="241">
        <f t="shared" si="29"/>
        <v>0</v>
      </c>
      <c r="AK12" s="241">
        <f t="shared" si="30"/>
        <v>0</v>
      </c>
      <c r="AL12" s="242">
        <v>48</v>
      </c>
      <c r="AM12" s="242">
        <v>27</v>
      </c>
      <c r="AN12" s="242">
        <f t="shared" si="31"/>
        <v>0</v>
      </c>
      <c r="AO12" s="236">
        <f t="shared" si="32"/>
        <v>0</v>
      </c>
      <c r="AP12" s="248">
        <f t="shared" si="26"/>
        <v>1000</v>
      </c>
      <c r="AQ12" s="248">
        <f t="shared" si="27"/>
        <v>180</v>
      </c>
      <c r="AR12" s="239" t="s">
        <v>470</v>
      </c>
      <c r="AS12" s="247">
        <v>0</v>
      </c>
      <c r="AT12" s="247">
        <v>0</v>
      </c>
      <c r="AU12" s="241">
        <f t="shared" si="10"/>
        <v>0</v>
      </c>
      <c r="AV12" s="242">
        <f t="shared" si="33"/>
        <v>204.30107526881721</v>
      </c>
      <c r="AW12" s="242">
        <f t="shared" si="34"/>
        <v>118.27956989247312</v>
      </c>
      <c r="AX12" s="249">
        <f t="shared" si="13"/>
        <v>0</v>
      </c>
      <c r="AY12" s="250">
        <f t="shared" si="14"/>
        <v>0</v>
      </c>
      <c r="AZ12" s="245">
        <v>0</v>
      </c>
      <c r="BA12" s="251">
        <f t="shared" si="15"/>
        <v>0</v>
      </c>
      <c r="BB12" s="242">
        <v>500</v>
      </c>
      <c r="BC12" s="242">
        <v>250</v>
      </c>
      <c r="BD12" s="242">
        <f t="shared" si="16"/>
        <v>0</v>
      </c>
      <c r="BE12" s="236">
        <f t="shared" si="17"/>
        <v>0</v>
      </c>
      <c r="BF12" s="252">
        <v>0</v>
      </c>
      <c r="BG12" s="259">
        <v>30</v>
      </c>
      <c r="BH12" s="259">
        <v>38</v>
      </c>
      <c r="BI12" s="259">
        <f t="shared" si="18"/>
        <v>0</v>
      </c>
      <c r="BJ12" s="266">
        <f t="shared" si="19"/>
        <v>0</v>
      </c>
      <c r="BK12" s="253">
        <f t="shared" ref="BK12:BL12" si="37">SUM(S12+AC12+AN12+AX12+BD12+BI12)</f>
        <v>1402</v>
      </c>
      <c r="BL12" s="253">
        <f t="shared" si="37"/>
        <v>400</v>
      </c>
      <c r="BM12" s="254">
        <f t="shared" si="22"/>
        <v>420.59999999999997</v>
      </c>
      <c r="BN12" s="253">
        <f t="shared" si="28"/>
        <v>1900</v>
      </c>
      <c r="BO12" s="253">
        <f t="shared" si="23"/>
        <v>400</v>
      </c>
      <c r="BP12" s="255">
        <f t="shared" si="24"/>
        <v>285</v>
      </c>
    </row>
    <row r="13" spans="1:69" s="256" customFormat="1" ht="24">
      <c r="A13" s="230" t="str">
        <f t="shared" si="0"/>
        <v xml:space="preserve"> - D บานประตูสำเร็จรูป บานเลื่อนเดี่ยว ขนาด 0.90x2.05 ม.</v>
      </c>
      <c r="B13" s="239" t="s">
        <v>466</v>
      </c>
      <c r="C13" s="232" t="s">
        <v>485</v>
      </c>
      <c r="D13" s="233"/>
      <c r="E13" s="274"/>
      <c r="F13" s="234">
        <f t="shared" si="1"/>
        <v>0</v>
      </c>
      <c r="G13" s="235" t="s">
        <v>486</v>
      </c>
      <c r="H13" s="235" t="s">
        <v>487</v>
      </c>
      <c r="I13" s="236">
        <f t="shared" si="2"/>
        <v>1.845</v>
      </c>
      <c r="J13" s="237">
        <f t="shared" si="3"/>
        <v>3900</v>
      </c>
      <c r="K13" s="237">
        <f t="shared" si="3"/>
        <v>1200</v>
      </c>
      <c r="L13" s="260"/>
      <c r="M13" s="257">
        <v>0</v>
      </c>
      <c r="N13" s="258">
        <v>0</v>
      </c>
      <c r="O13" s="241">
        <f t="shared" si="4"/>
        <v>0</v>
      </c>
      <c r="P13" s="241">
        <f t="shared" si="35"/>
        <v>335</v>
      </c>
      <c r="Q13" s="242">
        <v>40</v>
      </c>
      <c r="R13" s="242">
        <v>100</v>
      </c>
      <c r="S13" s="243">
        <f>ROUNDUP(O13*P13,0)</f>
        <v>0</v>
      </c>
      <c r="T13" s="244">
        <f t="shared" si="7"/>
        <v>0</v>
      </c>
      <c r="U13" s="245">
        <v>1</v>
      </c>
      <c r="V13" s="257">
        <v>0</v>
      </c>
      <c r="W13" s="259">
        <v>0</v>
      </c>
      <c r="X13" s="259">
        <v>0</v>
      </c>
      <c r="Y13" s="257">
        <f t="shared" si="36"/>
        <v>1</v>
      </c>
      <c r="Z13" s="275">
        <v>1000</v>
      </c>
      <c r="AA13" s="259">
        <v>180</v>
      </c>
      <c r="AB13" s="259">
        <v>0</v>
      </c>
      <c r="AC13" s="242">
        <f>ROUNDUP(V13*W13+Y13*Z13,0)</f>
        <v>1000</v>
      </c>
      <c r="AD13" s="236">
        <f>ROUNDUP((X13*U13)+(AA13*U13)+((G13-M13*2*0.025)*(H13-M13*0.025))*AB13,0)</f>
        <v>180</v>
      </c>
      <c r="AE13" s="239" t="s">
        <v>469</v>
      </c>
      <c r="AF13" s="247">
        <v>0</v>
      </c>
      <c r="AG13" s="247">
        <v>0</v>
      </c>
      <c r="AH13" s="247">
        <v>0</v>
      </c>
      <c r="AI13" s="241">
        <f>AF13*AG13*U13</f>
        <v>0</v>
      </c>
      <c r="AJ13" s="241">
        <f t="shared" si="29"/>
        <v>0</v>
      </c>
      <c r="AK13" s="241">
        <f t="shared" si="30"/>
        <v>0</v>
      </c>
      <c r="AL13" s="242">
        <v>48</v>
      </c>
      <c r="AM13" s="242">
        <v>27</v>
      </c>
      <c r="AN13" s="242">
        <f t="shared" si="31"/>
        <v>0</v>
      </c>
      <c r="AO13" s="236">
        <f t="shared" si="32"/>
        <v>0</v>
      </c>
      <c r="AP13" s="248">
        <f t="shared" si="26"/>
        <v>1000</v>
      </c>
      <c r="AQ13" s="248">
        <f t="shared" si="27"/>
        <v>180</v>
      </c>
      <c r="AR13" s="239" t="s">
        <v>470</v>
      </c>
      <c r="AS13" s="247">
        <v>0</v>
      </c>
      <c r="AT13" s="247">
        <v>0</v>
      </c>
      <c r="AU13" s="241">
        <f t="shared" si="10"/>
        <v>0</v>
      </c>
      <c r="AV13" s="242">
        <f t="shared" si="33"/>
        <v>204.30107526881721</v>
      </c>
      <c r="AW13" s="242">
        <f t="shared" si="34"/>
        <v>118.27956989247312</v>
      </c>
      <c r="AX13" s="249">
        <f t="shared" si="13"/>
        <v>0</v>
      </c>
      <c r="AY13" s="250">
        <f t="shared" si="14"/>
        <v>0</v>
      </c>
      <c r="AZ13" s="245">
        <v>1</v>
      </c>
      <c r="BA13" s="251">
        <f t="shared" si="15"/>
        <v>3.9260000000000002</v>
      </c>
      <c r="BB13" s="242">
        <v>500</v>
      </c>
      <c r="BC13" s="242">
        <v>250</v>
      </c>
      <c r="BD13" s="242">
        <f>ROUNDUP(BA13*BB13,0)</f>
        <v>1963</v>
      </c>
      <c r="BE13" s="236">
        <f>ROUNDUP(BA13*BC13,0)</f>
        <v>982</v>
      </c>
      <c r="BF13" s="252">
        <f>IF(AZ13=0,ROUNDUP((M13*2*0.025+N13*0.025)*O13+((G13-M13*2*0.025)*(H13-M13*0.025)*2),1),ROUNDUP((M13*2*0.025+N13*0.025)*O13,1))</f>
        <v>0</v>
      </c>
      <c r="BG13" s="242">
        <v>30</v>
      </c>
      <c r="BH13" s="242">
        <v>38</v>
      </c>
      <c r="BI13" s="242">
        <f>ROUNDUP(BF13*BG13,0)</f>
        <v>0</v>
      </c>
      <c r="BJ13" s="236">
        <f>ROUNDUP(BF13*BH13,0)</f>
        <v>0</v>
      </c>
      <c r="BK13" s="253">
        <f t="shared" ref="BK13" si="38">SUM(S13+AC13+AN13+AX13+BD13+BI13)</f>
        <v>2963</v>
      </c>
      <c r="BL13" s="253">
        <f t="shared" ref="BL13" si="39">SUM(T13+AD13+AO13+AY13+BE13+BJ13)</f>
        <v>1162</v>
      </c>
      <c r="BM13" s="254">
        <f>BK13*30%</f>
        <v>888.9</v>
      </c>
      <c r="BN13" s="253">
        <f>ROUNDUP(BK13+BM13,-2)</f>
        <v>3900</v>
      </c>
      <c r="BO13" s="253">
        <f>ROUNDUP(BL13,-2)</f>
        <v>1200</v>
      </c>
      <c r="BP13" s="255">
        <f>BN13*15%</f>
        <v>585</v>
      </c>
    </row>
    <row r="14" spans="1:69" s="283" customFormat="1" ht="48">
      <c r="A14" s="276" t="str">
        <f t="shared" si="0"/>
        <v xml:space="preserve"> - D ประตูวงกบไม้เนื้อแข็ง กรุไม้อัดยางกันชื้น บานเปิดเดี่ยว ช่องชาร์ปวงกบรอบ ขนาด 0.40x1.55 ม.</v>
      </c>
      <c r="B14" s="277" t="s">
        <v>466</v>
      </c>
      <c r="C14" s="278" t="s">
        <v>488</v>
      </c>
      <c r="D14" s="234"/>
      <c r="E14" s="234"/>
      <c r="F14" s="234">
        <f t="shared" si="1"/>
        <v>0</v>
      </c>
      <c r="G14" s="279" t="s">
        <v>489</v>
      </c>
      <c r="H14" s="280" t="s">
        <v>490</v>
      </c>
      <c r="I14" s="281">
        <f t="shared" si="2"/>
        <v>0.62000000000000011</v>
      </c>
      <c r="J14" s="237">
        <f t="shared" si="3"/>
        <v>1500</v>
      </c>
      <c r="K14" s="237">
        <f t="shared" si="3"/>
        <v>700</v>
      </c>
      <c r="L14" s="282"/>
      <c r="M14" s="239">
        <v>2</v>
      </c>
      <c r="N14" s="240">
        <v>4</v>
      </c>
      <c r="O14" s="264">
        <f>IF(M14=0,0,G14*2+H14*2)</f>
        <v>3.9000000000000004</v>
      </c>
      <c r="P14" s="241">
        <f t="shared" si="35"/>
        <v>134</v>
      </c>
      <c r="Q14" s="242">
        <v>40</v>
      </c>
      <c r="R14" s="242">
        <v>100</v>
      </c>
      <c r="S14" s="243">
        <f t="shared" si="6"/>
        <v>523</v>
      </c>
      <c r="T14" s="244">
        <f t="shared" si="7"/>
        <v>218</v>
      </c>
      <c r="U14" s="245">
        <v>1</v>
      </c>
      <c r="V14" s="257">
        <v>0</v>
      </c>
      <c r="W14" s="259">
        <v>0</v>
      </c>
      <c r="X14" s="259">
        <v>0</v>
      </c>
      <c r="Y14" s="257">
        <f>(G14-M14*2*0.025)*(H14-M14*2*0.025)-(AI14)</f>
        <v>0.43500000000000005</v>
      </c>
      <c r="Z14" s="259">
        <v>1250</v>
      </c>
      <c r="AA14" s="242">
        <v>320</v>
      </c>
      <c r="AB14" s="242">
        <f>105</f>
        <v>105</v>
      </c>
      <c r="AC14" s="242">
        <f>ROUNDUP(V14*W14+Y14*Z14,0)</f>
        <v>544</v>
      </c>
      <c r="AD14" s="236">
        <f t="shared" si="8"/>
        <v>368</v>
      </c>
      <c r="AE14" s="239" t="s">
        <v>469</v>
      </c>
      <c r="AF14" s="247">
        <v>0</v>
      </c>
      <c r="AG14" s="247">
        <v>0</v>
      </c>
      <c r="AH14" s="247">
        <v>0</v>
      </c>
      <c r="AI14" s="241">
        <f t="shared" si="9"/>
        <v>0</v>
      </c>
      <c r="AJ14" s="241">
        <f t="shared" si="29"/>
        <v>0</v>
      </c>
      <c r="AK14" s="241">
        <f t="shared" si="30"/>
        <v>0</v>
      </c>
      <c r="AL14" s="242">
        <v>48</v>
      </c>
      <c r="AM14" s="242">
        <v>27</v>
      </c>
      <c r="AN14" s="242">
        <f t="shared" si="31"/>
        <v>0</v>
      </c>
      <c r="AO14" s="236">
        <f t="shared" si="32"/>
        <v>0</v>
      </c>
      <c r="AP14" s="248">
        <f t="shared" si="26"/>
        <v>544</v>
      </c>
      <c r="AQ14" s="248">
        <f t="shared" si="27"/>
        <v>368</v>
      </c>
      <c r="AR14" s="239" t="s">
        <v>470</v>
      </c>
      <c r="AS14" s="247">
        <v>0</v>
      </c>
      <c r="AT14" s="247">
        <v>0</v>
      </c>
      <c r="AU14" s="241">
        <f t="shared" si="10"/>
        <v>0</v>
      </c>
      <c r="AV14" s="242">
        <f t="shared" si="33"/>
        <v>204.30107526881721</v>
      </c>
      <c r="AW14" s="242">
        <f t="shared" si="34"/>
        <v>118.27956989247312</v>
      </c>
      <c r="AX14" s="249">
        <f t="shared" si="13"/>
        <v>0</v>
      </c>
      <c r="AY14" s="250">
        <f t="shared" si="14"/>
        <v>0</v>
      </c>
      <c r="AZ14" s="245">
        <v>0</v>
      </c>
      <c r="BA14" s="251">
        <f t="shared" si="15"/>
        <v>0</v>
      </c>
      <c r="BB14" s="242">
        <v>500</v>
      </c>
      <c r="BC14" s="242">
        <v>250</v>
      </c>
      <c r="BD14" s="242">
        <f t="shared" si="16"/>
        <v>0</v>
      </c>
      <c r="BE14" s="236">
        <f t="shared" si="17"/>
        <v>0</v>
      </c>
      <c r="BF14" s="252">
        <f>IF(AZ14=0,ROUNDUP((M14*2*0.025+N14*0.025)*O14+((G14-M14*2*0.025)*(H14-M14*0.025)*2),1),ROUNDUP((M14*2*0.025+N14*0.025)*O14,1))</f>
        <v>1.7000000000000002</v>
      </c>
      <c r="BG14" s="242">
        <v>30</v>
      </c>
      <c r="BH14" s="242">
        <v>38</v>
      </c>
      <c r="BI14" s="242">
        <f t="shared" si="18"/>
        <v>51</v>
      </c>
      <c r="BJ14" s="236">
        <f t="shared" si="19"/>
        <v>65</v>
      </c>
      <c r="BK14" s="253">
        <f t="shared" si="20"/>
        <v>1118</v>
      </c>
      <c r="BL14" s="253">
        <f t="shared" si="21"/>
        <v>651</v>
      </c>
      <c r="BM14" s="254">
        <f t="shared" si="22"/>
        <v>335.4</v>
      </c>
      <c r="BN14" s="253">
        <f t="shared" si="28"/>
        <v>1500</v>
      </c>
      <c r="BO14" s="253">
        <f t="shared" si="23"/>
        <v>700</v>
      </c>
      <c r="BP14" s="255">
        <f t="shared" si="24"/>
        <v>225</v>
      </c>
      <c r="BQ14" s="256"/>
    </row>
    <row r="15" spans="1:69" s="269" customFormat="1" ht="72">
      <c r="A15" s="230" t="str">
        <f t="shared" si="0"/>
        <v xml:space="preserve"> - D ประตูอลูมิเนียม ลูกฟักกระจกใส/ฝ้า หนา 6 มม.
(ราคากระจกใส/ฝ้า ประตู&amp;หน้าต่าง 5000/ตร.ม. &amp; หน้าต่างบานกระทุ้งกระจกฝ้า 12000/ตร.ม.) ขนาด 1.00x1.00 ม.</v>
      </c>
      <c r="B15" s="231" t="s">
        <v>466</v>
      </c>
      <c r="C15" s="284" t="s">
        <v>491</v>
      </c>
      <c r="D15" s="233"/>
      <c r="E15" s="233"/>
      <c r="F15" s="234">
        <f t="shared" si="1"/>
        <v>0</v>
      </c>
      <c r="G15" s="235" t="s">
        <v>468</v>
      </c>
      <c r="H15" s="235" t="s">
        <v>468</v>
      </c>
      <c r="I15" s="236">
        <f t="shared" si="2"/>
        <v>1</v>
      </c>
      <c r="J15" s="285">
        <f>ROUNDUP(I15*5000,0)</f>
        <v>5000</v>
      </c>
      <c r="K15" s="285">
        <v>0</v>
      </c>
      <c r="L15" s="260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P15" s="287"/>
      <c r="AQ15" s="287"/>
    </row>
    <row r="16" spans="1:69" s="269" customFormat="1" ht="96">
      <c r="A16" s="230" t="str">
        <f t="shared" si="0"/>
        <v xml:space="preserve"> - D ประตูอลูมิเนียม ลูกฟักกระจกลามิเนต หนา 3+3 มม.
(ราคาลามิเนต ประตู&amp;หน้าต่าง 8000/ตร.ม. &amp; หน้าต่างบานกระทุ้งลามิเนต 24000/ตร.ม.)
 ขนาด 1.00x1.00 ม.</v>
      </c>
      <c r="B16" s="231" t="s">
        <v>466</v>
      </c>
      <c r="C16" s="284" t="s">
        <v>492</v>
      </c>
      <c r="D16" s="233"/>
      <c r="E16" s="233"/>
      <c r="F16" s="234">
        <f t="shared" si="1"/>
        <v>0</v>
      </c>
      <c r="G16" s="235" t="s">
        <v>468</v>
      </c>
      <c r="H16" s="235" t="s">
        <v>468</v>
      </c>
      <c r="I16" s="236">
        <f t="shared" si="2"/>
        <v>1</v>
      </c>
      <c r="J16" s="285">
        <f>ROUNDUP(I16*8000,0)</f>
        <v>8000</v>
      </c>
      <c r="K16" s="285">
        <v>0</v>
      </c>
      <c r="L16" s="260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P16" s="287"/>
      <c r="AQ16" s="287"/>
    </row>
    <row r="17" spans="1:68" s="269" customFormat="1" ht="48">
      <c r="A17" s="230" t="str">
        <f t="shared" si="0"/>
        <v xml:space="preserve"> - W หน้าต่างเหล็กลูกฟักตะแกรงเหล็กฉีก G10 (ราคา 4800/ตร.ม.) ขนาด 1.00x1.00 ม.</v>
      </c>
      <c r="B17" s="231" t="s">
        <v>493</v>
      </c>
      <c r="C17" s="284" t="s">
        <v>494</v>
      </c>
      <c r="D17" s="233"/>
      <c r="E17" s="233"/>
      <c r="F17" s="234">
        <f t="shared" si="1"/>
        <v>0</v>
      </c>
      <c r="G17" s="235" t="s">
        <v>468</v>
      </c>
      <c r="H17" s="235" t="s">
        <v>468</v>
      </c>
      <c r="I17" s="236">
        <f t="shared" si="2"/>
        <v>1</v>
      </c>
      <c r="J17" s="285">
        <f>ROUNDUP(O17*4800,0)</f>
        <v>0</v>
      </c>
      <c r="K17" s="285">
        <v>0</v>
      </c>
      <c r="L17" s="260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P17" s="287"/>
      <c r="AQ17" s="287"/>
    </row>
    <row r="18" spans="1:68" s="256" customFormat="1" ht="48">
      <c r="A18" s="230" t="str">
        <f t="shared" si="0"/>
        <v xml:space="preserve"> - W หน้าต่างวงกบไม้เนื้อแข็ง บานเปิดเดี่ยว ลูกฟักเกล็ดระบายอากาศ ขนาด 3.60x3.00 ม.</v>
      </c>
      <c r="B18" s="231" t="s">
        <v>493</v>
      </c>
      <c r="C18" s="232" t="s">
        <v>495</v>
      </c>
      <c r="D18" s="233"/>
      <c r="E18" s="233"/>
      <c r="F18" s="234">
        <f t="shared" si="1"/>
        <v>0</v>
      </c>
      <c r="G18" s="235" t="s">
        <v>496</v>
      </c>
      <c r="H18" s="235" t="s">
        <v>497</v>
      </c>
      <c r="I18" s="236">
        <f t="shared" si="2"/>
        <v>10.8</v>
      </c>
      <c r="J18" s="237">
        <f t="shared" ref="J18:K18" si="40">BN18</f>
        <v>20100</v>
      </c>
      <c r="K18" s="237">
        <f t="shared" si="40"/>
        <v>11200</v>
      </c>
      <c r="L18" s="238"/>
      <c r="M18" s="239">
        <v>2</v>
      </c>
      <c r="N18" s="240">
        <v>4</v>
      </c>
      <c r="O18" s="267">
        <f>IF(M18=0,0,G18*2+H18*(U18+1))</f>
        <v>22.2</v>
      </c>
      <c r="P18" s="241">
        <f t="shared" ref="P18" si="41">IF(N18=4,134,335)</f>
        <v>134</v>
      </c>
      <c r="Q18" s="242">
        <v>40</v>
      </c>
      <c r="R18" s="242">
        <v>100</v>
      </c>
      <c r="S18" s="243">
        <f t="shared" ref="S18" si="42">ROUNDUP(O18*P18,0)</f>
        <v>2975</v>
      </c>
      <c r="T18" s="244">
        <f>ROUNDUP(IF(M18=0,0,O18*Q18+I18*R18),0)</f>
        <v>1968</v>
      </c>
      <c r="U18" s="245">
        <v>4</v>
      </c>
      <c r="V18" s="246">
        <f>(G18-M18*2*0.025)*2+(H18-M18*0.025)*2*U18</f>
        <v>30.6</v>
      </c>
      <c r="W18" s="242">
        <v>170</v>
      </c>
      <c r="X18" s="242">
        <v>230</v>
      </c>
      <c r="Y18" s="246">
        <f>(G18-M18*(U18+1)*0.025-0.05*2*U18)*(H18-M18*2*0.025-0.05*2)-(AI18)</f>
        <v>0</v>
      </c>
      <c r="Z18" s="242">
        <v>1100</v>
      </c>
      <c r="AA18" s="242">
        <v>320</v>
      </c>
      <c r="AB18" s="242">
        <f>105</f>
        <v>105</v>
      </c>
      <c r="AC18" s="242">
        <f t="shared" ref="AC18" si="43">ROUNDUP(V18*W18+Y18*Z18,0)</f>
        <v>5202</v>
      </c>
      <c r="AD18" s="236">
        <f>(X18*U18)+(AA18*U18)+((G18-M18*2*0.025)*(H18-M18*0.025))*AB18</f>
        <v>3284.125</v>
      </c>
      <c r="AE18" s="239" t="s">
        <v>469</v>
      </c>
      <c r="AF18" s="247">
        <v>2.8</v>
      </c>
      <c r="AG18" s="247">
        <v>0.73750000000000004</v>
      </c>
      <c r="AH18" s="247">
        <v>46</v>
      </c>
      <c r="AI18" s="241">
        <f t="shared" ref="AI18" si="44">AF18*AG18*U18</f>
        <v>8.26</v>
      </c>
      <c r="AJ18" s="241">
        <f>AG18*AH18*U18</f>
        <v>135.70000000000002</v>
      </c>
      <c r="AK18" s="241">
        <f>AH18*U18</f>
        <v>184</v>
      </c>
      <c r="AL18" s="242">
        <v>48</v>
      </c>
      <c r="AM18" s="242">
        <v>27</v>
      </c>
      <c r="AN18" s="242">
        <f>ROUNDUP(AJ18*AL18,0)</f>
        <v>6514</v>
      </c>
      <c r="AO18" s="236">
        <f>AM18*AK18</f>
        <v>4968</v>
      </c>
      <c r="AP18" s="248">
        <f>ROUNDUP((AC18+AN18)/U18,0)</f>
        <v>2929</v>
      </c>
      <c r="AQ18" s="248">
        <f>ROUNDUP((AD18+AO18)/U18,0)</f>
        <v>2064</v>
      </c>
      <c r="AR18" s="239" t="s">
        <v>470</v>
      </c>
      <c r="AS18" s="247">
        <v>0</v>
      </c>
      <c r="AT18" s="247">
        <v>0</v>
      </c>
      <c r="AU18" s="241">
        <f>AS18*AT18*U18</f>
        <v>0</v>
      </c>
      <c r="AV18" s="242">
        <f t="shared" ref="AV18" si="45">19/0.093</f>
        <v>204.30107526881721</v>
      </c>
      <c r="AW18" s="242">
        <f t="shared" ref="AW18" si="46">11/0.093</f>
        <v>118.27956989247312</v>
      </c>
      <c r="AX18" s="249">
        <f>ROUNDUP(AU18*AV18,0)</f>
        <v>0</v>
      </c>
      <c r="AY18" s="250">
        <f>ROUNDUP(AW18*AU18,0)</f>
        <v>0</v>
      </c>
      <c r="AZ18" s="245">
        <v>0</v>
      </c>
      <c r="BA18" s="247">
        <f>IF(AZ18=0,0,((G18-M18*2*0.025)*(H18-M18*0.025))*2+0.04*((G18-M18*2*0.025)*2+(H18-M18*0.025)*2))</f>
        <v>0</v>
      </c>
      <c r="BB18" s="242">
        <v>500</v>
      </c>
      <c r="BC18" s="242">
        <v>250</v>
      </c>
      <c r="BD18" s="242">
        <f t="shared" ref="BD18" si="47">ROUNDUP(BA18*BB18,0)</f>
        <v>0</v>
      </c>
      <c r="BE18" s="236">
        <f t="shared" ref="BE18" si="48">ROUNDUP(BA18*BC18,0)</f>
        <v>0</v>
      </c>
      <c r="BF18" s="252">
        <f>IF(AZ18=0,ROUNDUP((M18*2*0.025+N18*0.025)*O18+((G18-M18*2*0.025)*(H18-M18*0.025)*2),1),ROUNDUP((M18*2*0.025+N18*0.025)*O18,1))</f>
        <v>25.1</v>
      </c>
      <c r="BG18" s="242">
        <v>30</v>
      </c>
      <c r="BH18" s="242">
        <v>38</v>
      </c>
      <c r="BI18" s="242">
        <f t="shared" ref="BI18" si="49">ROUNDUP(BF18*BG18,0)</f>
        <v>753</v>
      </c>
      <c r="BJ18" s="236">
        <f t="shared" ref="BJ18" si="50">ROUNDUP(BF18*BH18,0)</f>
        <v>954</v>
      </c>
      <c r="BK18" s="253">
        <f>SUM(S18+AC18+AN18+BD18+BI18)</f>
        <v>15444</v>
      </c>
      <c r="BL18" s="253">
        <f>SUM(T18+AD18+AO18+BE18+BJ18)</f>
        <v>11174.125</v>
      </c>
      <c r="BM18" s="254">
        <f t="shared" ref="BM18" si="51">BK18*30%</f>
        <v>4633.2</v>
      </c>
      <c r="BN18" s="253">
        <f t="shared" ref="BN18" si="52">ROUNDUP(BK18+BM18,-2)</f>
        <v>20100</v>
      </c>
      <c r="BO18" s="253">
        <f t="shared" ref="BO18" si="53">ROUNDUP(BL18,-2)</f>
        <v>11200</v>
      </c>
      <c r="BP18" s="255">
        <f t="shared" ref="BP18" si="54">BN18*15%</f>
        <v>3015</v>
      </c>
    </row>
    <row r="19" spans="1:68" s="269" customFormat="1" ht="24">
      <c r="A19" s="288"/>
      <c r="B19" s="289" t="s">
        <v>466</v>
      </c>
      <c r="C19" s="288" t="s">
        <v>498</v>
      </c>
      <c r="D19" s="290"/>
      <c r="E19" s="290"/>
      <c r="F19" s="291"/>
      <c r="G19" s="291"/>
      <c r="H19" s="290"/>
      <c r="I19" s="290"/>
      <c r="J19" s="291">
        <f>SUM(J20:J22)</f>
        <v>21660</v>
      </c>
      <c r="K19" s="290"/>
      <c r="L19" s="291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P19" s="287"/>
      <c r="AQ19" s="287"/>
    </row>
    <row r="20" spans="1:68" s="269" customFormat="1" ht="24">
      <c r="A20" s="288"/>
      <c r="B20" s="290"/>
      <c r="C20" s="288" t="s">
        <v>499</v>
      </c>
      <c r="D20" s="290"/>
      <c r="E20" s="290"/>
      <c r="F20" s="291"/>
      <c r="G20" s="291"/>
      <c r="H20" s="290"/>
      <c r="I20" s="290"/>
      <c r="J20" s="291"/>
      <c r="K20" s="290"/>
      <c r="L20" s="291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P20" s="287"/>
      <c r="AQ20" s="287"/>
    </row>
    <row r="21" spans="1:68" s="269" customFormat="1" ht="48">
      <c r="A21" s="288"/>
      <c r="B21" s="292" t="s">
        <v>500</v>
      </c>
      <c r="C21" s="288" t="s">
        <v>501</v>
      </c>
      <c r="D21" s="290"/>
      <c r="E21" s="290"/>
      <c r="F21" s="291"/>
      <c r="G21" s="291"/>
      <c r="H21" s="290"/>
      <c r="I21" s="290"/>
      <c r="J21" s="291">
        <v>15900</v>
      </c>
      <c r="K21" s="290"/>
      <c r="L21" s="291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P21" s="287"/>
      <c r="AQ21" s="287"/>
    </row>
    <row r="22" spans="1:68" s="269" customFormat="1" ht="24">
      <c r="A22" s="288"/>
      <c r="B22" s="290"/>
      <c r="C22" s="288" t="s">
        <v>502</v>
      </c>
      <c r="D22" s="290"/>
      <c r="E22" s="290"/>
      <c r="F22" s="291"/>
      <c r="G22" s="291"/>
      <c r="H22" s="290"/>
      <c r="I22" s="290"/>
      <c r="J22" s="291">
        <f>(1490+1390)*2</f>
        <v>5760</v>
      </c>
      <c r="K22" s="290"/>
      <c r="L22" s="291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P22" s="287"/>
      <c r="AQ22" s="287"/>
    </row>
    <row r="24" spans="1:68" s="296" customFormat="1" ht="24">
      <c r="A24" s="293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5"/>
    </row>
    <row r="25" spans="1:68" ht="24" customHeight="1">
      <c r="A25" s="1501" t="s">
        <v>1</v>
      </c>
      <c r="B25" s="1502"/>
      <c r="C25" s="1503"/>
      <c r="D25" s="297" t="s">
        <v>106</v>
      </c>
      <c r="E25" s="297" t="s">
        <v>111</v>
      </c>
      <c r="F25" s="298" t="s">
        <v>13</v>
      </c>
      <c r="G25" s="1507" t="s">
        <v>423</v>
      </c>
      <c r="H25" s="1507"/>
      <c r="I25" s="1507"/>
      <c r="J25" s="1507" t="s">
        <v>14</v>
      </c>
      <c r="K25" s="1507" t="s">
        <v>424</v>
      </c>
      <c r="L25" s="1497" t="s">
        <v>425</v>
      </c>
      <c r="M25" s="1507" t="s">
        <v>426</v>
      </c>
      <c r="N25" s="1507"/>
      <c r="O25" s="1507"/>
      <c r="P25" s="1507"/>
      <c r="Q25" s="1507"/>
      <c r="R25" s="1507"/>
      <c r="S25" s="1507"/>
      <c r="T25" s="1507"/>
      <c r="U25" s="1507" t="s">
        <v>427</v>
      </c>
      <c r="V25" s="1507"/>
      <c r="W25" s="1507"/>
      <c r="X25" s="1507"/>
      <c r="Y25" s="1507" t="s">
        <v>428</v>
      </c>
      <c r="Z25" s="1507"/>
      <c r="AA25" s="1507"/>
      <c r="AB25" s="1507"/>
      <c r="AC25" s="299"/>
      <c r="AD25" s="300"/>
      <c r="AE25" s="1509" t="s">
        <v>430</v>
      </c>
      <c r="AF25" s="1511"/>
      <c r="AG25" s="1511"/>
      <c r="AH25" s="1511"/>
      <c r="AI25" s="1511"/>
      <c r="AJ25" s="1511"/>
      <c r="AK25" s="1511"/>
      <c r="AL25" s="1511"/>
      <c r="AM25" s="1511"/>
      <c r="AN25" s="1511"/>
      <c r="AO25" s="1510"/>
      <c r="AP25" s="1492" t="s">
        <v>431</v>
      </c>
      <c r="AQ25" s="1493"/>
      <c r="AR25" s="1499" t="s">
        <v>432</v>
      </c>
      <c r="AS25" s="1508"/>
      <c r="AT25" s="1508"/>
      <c r="AU25" s="1508"/>
      <c r="AV25" s="1508"/>
      <c r="AW25" s="1508"/>
      <c r="AX25" s="1508"/>
      <c r="AY25" s="1500"/>
      <c r="AZ25" s="1507" t="s">
        <v>433</v>
      </c>
      <c r="BA25" s="1507"/>
      <c r="BB25" s="1507"/>
      <c r="BC25" s="1507"/>
      <c r="BD25" s="1507"/>
      <c r="BE25" s="1507"/>
      <c r="BF25" s="1507" t="s">
        <v>434</v>
      </c>
      <c r="BG25" s="1507"/>
      <c r="BH25" s="1507"/>
      <c r="BI25" s="1507"/>
      <c r="BJ25" s="1507"/>
      <c r="BK25" s="1509" t="s">
        <v>28</v>
      </c>
      <c r="BL25" s="1510"/>
      <c r="BM25" s="298" t="s">
        <v>435</v>
      </c>
      <c r="BN25" s="1507" t="s">
        <v>28</v>
      </c>
      <c r="BO25" s="1507"/>
      <c r="BP25" s="1507"/>
    </row>
    <row r="26" spans="1:68" ht="48">
      <c r="A26" s="1504"/>
      <c r="B26" s="1505"/>
      <c r="C26" s="1506"/>
      <c r="D26" s="297">
        <f t="shared" ref="D26:E26" si="55">SUM(D27:D57)-D39</f>
        <v>0</v>
      </c>
      <c r="E26" s="297">
        <f t="shared" si="55"/>
        <v>0</v>
      </c>
      <c r="F26" s="297">
        <f>SUM(F27:F57)-F39</f>
        <v>82</v>
      </c>
      <c r="G26" s="298" t="s">
        <v>436</v>
      </c>
      <c r="H26" s="298" t="s">
        <v>437</v>
      </c>
      <c r="I26" s="298" t="s">
        <v>438</v>
      </c>
      <c r="J26" s="1507"/>
      <c r="K26" s="1507"/>
      <c r="L26" s="1498"/>
      <c r="M26" s="1509" t="s">
        <v>439</v>
      </c>
      <c r="N26" s="1510"/>
      <c r="O26" s="298" t="s">
        <v>440</v>
      </c>
      <c r="P26" s="298" t="s">
        <v>441</v>
      </c>
      <c r="Q26" s="298" t="s">
        <v>442</v>
      </c>
      <c r="R26" s="298" t="s">
        <v>443</v>
      </c>
      <c r="S26" s="302" t="s">
        <v>444</v>
      </c>
      <c r="T26" s="302" t="s">
        <v>445</v>
      </c>
      <c r="U26" s="298" t="s">
        <v>446</v>
      </c>
      <c r="V26" s="298" t="s">
        <v>447</v>
      </c>
      <c r="W26" s="298" t="s">
        <v>441</v>
      </c>
      <c r="X26" s="298" t="s">
        <v>448</v>
      </c>
      <c r="Y26" s="298" t="s">
        <v>449</v>
      </c>
      <c r="Z26" s="298" t="s">
        <v>450</v>
      </c>
      <c r="AA26" s="298" t="s">
        <v>448</v>
      </c>
      <c r="AB26" s="298" t="s">
        <v>451</v>
      </c>
      <c r="AC26" s="298" t="s">
        <v>444</v>
      </c>
      <c r="AD26" s="298" t="s">
        <v>445</v>
      </c>
      <c r="AE26" s="298" t="s">
        <v>452</v>
      </c>
      <c r="AF26" s="298" t="s">
        <v>437</v>
      </c>
      <c r="AG26" s="298" t="s">
        <v>453</v>
      </c>
      <c r="AH26" s="298" t="s">
        <v>454</v>
      </c>
      <c r="AI26" s="298" t="s">
        <v>455</v>
      </c>
      <c r="AJ26" s="298" t="s">
        <v>456</v>
      </c>
      <c r="AK26" s="298" t="s">
        <v>457</v>
      </c>
      <c r="AL26" s="298" t="s">
        <v>441</v>
      </c>
      <c r="AM26" s="298" t="s">
        <v>458</v>
      </c>
      <c r="AN26" s="298" t="s">
        <v>444</v>
      </c>
      <c r="AO26" s="298" t="s">
        <v>445</v>
      </c>
      <c r="AP26" s="228" t="s">
        <v>444</v>
      </c>
      <c r="AQ26" s="228" t="s">
        <v>445</v>
      </c>
      <c r="AR26" s="224" t="s">
        <v>452</v>
      </c>
      <c r="AS26" s="224" t="s">
        <v>437</v>
      </c>
      <c r="AT26" s="224" t="s">
        <v>459</v>
      </c>
      <c r="AU26" s="224" t="s">
        <v>455</v>
      </c>
      <c r="AV26" s="224" t="s">
        <v>441</v>
      </c>
      <c r="AW26" s="224" t="s">
        <v>458</v>
      </c>
      <c r="AX26" s="229" t="s">
        <v>444</v>
      </c>
      <c r="AY26" s="229" t="s">
        <v>445</v>
      </c>
      <c r="AZ26" s="298" t="s">
        <v>460</v>
      </c>
      <c r="BA26" s="302" t="s">
        <v>455</v>
      </c>
      <c r="BB26" s="298" t="s">
        <v>461</v>
      </c>
      <c r="BC26" s="298" t="s">
        <v>443</v>
      </c>
      <c r="BD26" s="298" t="s">
        <v>444</v>
      </c>
      <c r="BE26" s="298" t="s">
        <v>445</v>
      </c>
      <c r="BF26" s="302" t="s">
        <v>462</v>
      </c>
      <c r="BG26" s="303" t="s">
        <v>450</v>
      </c>
      <c r="BH26" s="298" t="s">
        <v>443</v>
      </c>
      <c r="BI26" s="298" t="s">
        <v>444</v>
      </c>
      <c r="BJ26" s="298" t="s">
        <v>445</v>
      </c>
      <c r="BK26" s="298" t="s">
        <v>463</v>
      </c>
      <c r="BL26" s="298" t="s">
        <v>464</v>
      </c>
      <c r="BM26" s="298" t="s">
        <v>435</v>
      </c>
      <c r="BN26" s="298" t="s">
        <v>463</v>
      </c>
      <c r="BO26" s="298" t="s">
        <v>464</v>
      </c>
      <c r="BP26" s="298" t="s">
        <v>465</v>
      </c>
    </row>
    <row r="27" spans="1:68" ht="48">
      <c r="A27" s="230" t="str">
        <f t="shared" ref="A27:A38" si="56">B27&amp;" "&amp;C27&amp;" ขนาด "&amp;G27&amp;"x"&amp;H27&amp;" ม."</f>
        <v xml:space="preserve"> - D1 วงกบบานประตูอลูมิเนียม บานเลื่อนคู่ พร้อมช่องแสงติดตาย ลูกฟักกระจกลามิเนตใสตัดแสง หนา 3+3 มม. ขนาด 3.70x2.50 ม.</v>
      </c>
      <c r="B27" s="304" t="s">
        <v>503</v>
      </c>
      <c r="C27" s="284" t="s">
        <v>670</v>
      </c>
      <c r="D27" s="274"/>
      <c r="E27" s="274"/>
      <c r="F27" s="305">
        <v>1</v>
      </c>
      <c r="G27" s="306" t="s">
        <v>507</v>
      </c>
      <c r="H27" s="307" t="s">
        <v>528</v>
      </c>
      <c r="I27" s="284">
        <f t="shared" ref="I27:I46" si="57">G27*H27</f>
        <v>9.25</v>
      </c>
      <c r="J27" s="285">
        <v>44296</v>
      </c>
      <c r="K27" s="285">
        <v>0</v>
      </c>
      <c r="L27" s="305">
        <f>J27/I27</f>
        <v>4788.7567567567567</v>
      </c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</row>
    <row r="28" spans="1:68" ht="48">
      <c r="A28" s="230" t="str">
        <f t="shared" si="56"/>
        <v xml:space="preserve"> - D2 วงกบบานประตูอลูมิเนียม บานเปิดคู่ พร้อมช่องแสงติดตาย ลูกฟักกระจกลามิเนตใสตัดแสง หนา 3+3 มม. ขนาด 4.375x2.50 ม.</v>
      </c>
      <c r="B28" s="304" t="s">
        <v>504</v>
      </c>
      <c r="C28" s="284" t="s">
        <v>671</v>
      </c>
      <c r="D28" s="274"/>
      <c r="E28" s="274"/>
      <c r="F28" s="305">
        <v>2</v>
      </c>
      <c r="G28" s="306" t="s">
        <v>665</v>
      </c>
      <c r="H28" s="307" t="s">
        <v>528</v>
      </c>
      <c r="I28" s="284">
        <f t="shared" si="57"/>
        <v>10.9375</v>
      </c>
      <c r="J28" s="285">
        <v>53767</v>
      </c>
      <c r="K28" s="285">
        <v>0</v>
      </c>
      <c r="L28" s="305">
        <f>J28/I28</f>
        <v>4915.84</v>
      </c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</row>
    <row r="29" spans="1:68" s="269" customFormat="1" ht="48">
      <c r="A29" s="230" t="str">
        <f t="shared" si="56"/>
        <v xml:space="preserve"> - D3 ประตูวงกบไม้เนื้อแข็ง กรุไม้อัดยางกันชื้น บานเปิดเดี่ยว พร้อมเกล็ดระบายอากาศ ลูกฟักกระจกฝ้า หนา 6 มม.  ขนาด 0.90x2.50 ม.</v>
      </c>
      <c r="B29" s="231" t="s">
        <v>505</v>
      </c>
      <c r="C29" s="232" t="s">
        <v>667</v>
      </c>
      <c r="D29" s="233"/>
      <c r="E29" s="233"/>
      <c r="F29" s="234">
        <v>4</v>
      </c>
      <c r="G29" s="235" t="s">
        <v>486</v>
      </c>
      <c r="H29" s="235" t="s">
        <v>528</v>
      </c>
      <c r="I29" s="236">
        <f t="shared" si="57"/>
        <v>2.25</v>
      </c>
      <c r="J29" s="237">
        <f t="shared" ref="J29:J30" si="58">BN29</f>
        <v>6700</v>
      </c>
      <c r="K29" s="237">
        <f t="shared" ref="K29:K30" si="59">BO29</f>
        <v>1500</v>
      </c>
      <c r="L29" s="260"/>
      <c r="M29" s="239">
        <v>2</v>
      </c>
      <c r="N29" s="240">
        <v>5</v>
      </c>
      <c r="O29" s="267">
        <f>IF(M29=0,0,G29*2+H29*2)</f>
        <v>6.8</v>
      </c>
      <c r="P29" s="241">
        <f t="shared" ref="P29" si="60">IF(N29=4,134,335)</f>
        <v>335</v>
      </c>
      <c r="Q29" s="242">
        <v>40</v>
      </c>
      <c r="R29" s="242">
        <v>100</v>
      </c>
      <c r="S29" s="243">
        <f t="shared" ref="S29" si="61">ROUNDUP(O29*P29,0)</f>
        <v>2278</v>
      </c>
      <c r="T29" s="244">
        <f t="shared" ref="T29" si="62">ROUNDUP(IF(M29=0,0,O29*Q29+I29*R29),0)</f>
        <v>497</v>
      </c>
      <c r="U29" s="245">
        <v>1</v>
      </c>
      <c r="V29" s="257">
        <v>0</v>
      </c>
      <c r="W29" s="259">
        <v>0</v>
      </c>
      <c r="X29" s="259">
        <v>0</v>
      </c>
      <c r="Y29" s="268">
        <f>(G29-M29*2*0.025)*(H29-M29*0.025)-(AI29)</f>
        <v>1.8000000000000003</v>
      </c>
      <c r="Z29" s="259">
        <v>1250</v>
      </c>
      <c r="AA29" s="242">
        <v>320</v>
      </c>
      <c r="AB29" s="242">
        <f>105</f>
        <v>105</v>
      </c>
      <c r="AC29" s="242">
        <f t="shared" ref="AC29:AC30" si="63">ROUNDUP(V29*W29+Y29*Z29,0)</f>
        <v>2250</v>
      </c>
      <c r="AD29" s="236">
        <f t="shared" ref="AD29:AD30" si="64">ROUNDUP((X29*U29)+(AA29*U29)+((G29-M29*2*0.025)*(H29-M29*0.025))*AB29,0)</f>
        <v>526</v>
      </c>
      <c r="AE29" s="261" t="s">
        <v>476</v>
      </c>
      <c r="AF29" s="262">
        <v>0.8</v>
      </c>
      <c r="AG29" s="262">
        <v>0.2</v>
      </c>
      <c r="AH29" s="263">
        <v>0</v>
      </c>
      <c r="AI29" s="264">
        <f t="shared" ref="AI29:AI30" si="65">AF29*AG29*U29</f>
        <v>0.16000000000000003</v>
      </c>
      <c r="AJ29" s="264">
        <v>0</v>
      </c>
      <c r="AK29" s="264">
        <v>0</v>
      </c>
      <c r="AL29" s="259">
        <f>31/0.093</f>
        <v>333.33333333333331</v>
      </c>
      <c r="AM29" s="259">
        <f>10/0.093</f>
        <v>107.52688172043011</v>
      </c>
      <c r="AN29" s="242">
        <f>ROUNDUP(AI29*AL29,0)</f>
        <v>54</v>
      </c>
      <c r="AO29" s="236">
        <f>AM29*AI29</f>
        <v>17.20430107526882</v>
      </c>
      <c r="AP29" s="248">
        <f t="shared" ref="AP29:AP30" si="66">ROUNDUP((AC29+AN29)/U29,0)</f>
        <v>2304</v>
      </c>
      <c r="AQ29" s="248">
        <f t="shared" ref="AQ29:AQ30" si="67">ROUNDUP((AD29+AO29)/U29,0)</f>
        <v>544</v>
      </c>
      <c r="AR29" s="261" t="s">
        <v>469</v>
      </c>
      <c r="AS29" s="262">
        <v>9</v>
      </c>
      <c r="AT29" s="262">
        <v>0.8</v>
      </c>
      <c r="AU29" s="241">
        <f t="shared" ref="AU29:AU30" si="68">AS29*AT29*U29</f>
        <v>7.2</v>
      </c>
      <c r="AV29" s="259">
        <v>48</v>
      </c>
      <c r="AW29" s="259">
        <v>27</v>
      </c>
      <c r="AX29" s="249">
        <f>ROUNDUP(AU29*AV29,0)</f>
        <v>346</v>
      </c>
      <c r="AY29" s="250">
        <f>ROUNDUP(AW29*AS29,0)</f>
        <v>243</v>
      </c>
      <c r="AZ29" s="245">
        <v>0</v>
      </c>
      <c r="BA29" s="251">
        <f t="shared" ref="BA29:BA30" si="69">IF(AZ29=0,0,((G29-M29*2*0.025)*(H29-M29*0.025))*2+0.04*((G29-M29*2*0.025)*2+(H29-M29*0.025)*2))</f>
        <v>0</v>
      </c>
      <c r="BB29" s="242">
        <v>500</v>
      </c>
      <c r="BC29" s="242">
        <v>250</v>
      </c>
      <c r="BD29" s="242">
        <f t="shared" ref="BD29:BD30" si="70">ROUNDUP(BA29*BB29,0)</f>
        <v>0</v>
      </c>
      <c r="BE29" s="236">
        <f t="shared" ref="BE29:BE30" si="71">ROUNDUP(BA29*BC29,0)</f>
        <v>0</v>
      </c>
      <c r="BF29" s="265">
        <f>IF(AZ29=0,ROUNDUP((M29*2*0.025+N29*0.025)*O29+((G29-M29*2*0.025)*(H29-M29*0.025)*2-AI29*2),1),ROUNDUP((M29*2*0.025+N29*0.025)*O29,1))</f>
        <v>5.1999999999999993</v>
      </c>
      <c r="BG29" s="259">
        <v>30</v>
      </c>
      <c r="BH29" s="259">
        <v>38</v>
      </c>
      <c r="BI29" s="259">
        <f t="shared" ref="BI29:BI30" si="72">ROUNDUP(BF29*BG29,0)</f>
        <v>156</v>
      </c>
      <c r="BJ29" s="266">
        <f t="shared" ref="BJ29:BJ30" si="73">ROUNDUP(BF29*BH29,0)</f>
        <v>198</v>
      </c>
      <c r="BK29" s="253">
        <f t="shared" ref="BK29:BK30" si="74">SUM(S29+AC29+AN29+AX29+BD29+BI29)</f>
        <v>5084</v>
      </c>
      <c r="BL29" s="253">
        <f t="shared" ref="BL29:BL30" si="75">SUM(T29+AD29+AO29+AY29+BE29+BJ29)</f>
        <v>1481.2043010752689</v>
      </c>
      <c r="BM29" s="254">
        <f t="shared" ref="BM29:BM30" si="76">BK29*30%</f>
        <v>1525.2</v>
      </c>
      <c r="BN29" s="253">
        <f t="shared" ref="BN29:BN30" si="77">ROUNDUP(BK29+BM29,-2)</f>
        <v>6700</v>
      </c>
      <c r="BO29" s="253">
        <f t="shared" ref="BO29:BO30" si="78">ROUNDUP(BL29,-2)</f>
        <v>1500</v>
      </c>
      <c r="BP29" s="255">
        <f t="shared" ref="BP29:BP30" si="79">BN29*15%</f>
        <v>1005</v>
      </c>
    </row>
    <row r="30" spans="1:68" s="256" customFormat="1" ht="48">
      <c r="A30" s="230" t="str">
        <f t="shared" si="56"/>
        <v xml:space="preserve"> - D4 ประตูวงกบไม้เนื้อแข็ง กรุไม้อัดยางกันชื้น บานเปิดเดี่ยว พร้อมช่องแสงติดตาย ลูกฟักกระจกลามิเนตใส หนา 3+3 มม. ขนาด 1.10x2.50 ม.</v>
      </c>
      <c r="B30" s="231" t="s">
        <v>506</v>
      </c>
      <c r="C30" s="232" t="s">
        <v>684</v>
      </c>
      <c r="D30" s="233"/>
      <c r="E30" s="233"/>
      <c r="F30" s="234">
        <v>8</v>
      </c>
      <c r="G30" s="235" t="s">
        <v>511</v>
      </c>
      <c r="H30" s="235" t="s">
        <v>528</v>
      </c>
      <c r="I30" s="236">
        <f t="shared" si="57"/>
        <v>2.75</v>
      </c>
      <c r="J30" s="237">
        <f t="shared" si="58"/>
        <v>5600</v>
      </c>
      <c r="K30" s="237">
        <f t="shared" si="59"/>
        <v>1500</v>
      </c>
      <c r="L30" s="238"/>
      <c r="M30" s="239">
        <v>2</v>
      </c>
      <c r="N30" s="240">
        <v>4</v>
      </c>
      <c r="O30" s="267">
        <f>IF(M30=0,0,G30*2+H30*2)</f>
        <v>7.2</v>
      </c>
      <c r="P30" s="241">
        <f t="shared" ref="P30" si="80">IF(N30=4,134,335)</f>
        <v>134</v>
      </c>
      <c r="Q30" s="242">
        <v>40</v>
      </c>
      <c r="R30" s="242">
        <v>100</v>
      </c>
      <c r="S30" s="243">
        <f t="shared" ref="S30" si="81">ROUNDUP(O30*P30,0)</f>
        <v>965</v>
      </c>
      <c r="T30" s="244">
        <f t="shared" ref="T30" si="82">ROUNDUP(IF(M30=0,0,O30*Q30+I30*R30),0)</f>
        <v>563</v>
      </c>
      <c r="U30" s="245">
        <v>1</v>
      </c>
      <c r="V30" s="257">
        <v>0</v>
      </c>
      <c r="W30" s="259">
        <v>0</v>
      </c>
      <c r="X30" s="259">
        <v>0</v>
      </c>
      <c r="Y30" s="257">
        <f>(G30-M30*2*0.025)*(H30-M30*0.025)-(AI30)</f>
        <v>2.1100000000000003</v>
      </c>
      <c r="Z30" s="259">
        <v>1250</v>
      </c>
      <c r="AA30" s="242">
        <v>320</v>
      </c>
      <c r="AB30" s="242">
        <f>105</f>
        <v>105</v>
      </c>
      <c r="AC30" s="242">
        <f t="shared" si="63"/>
        <v>2638</v>
      </c>
      <c r="AD30" s="236">
        <f t="shared" si="64"/>
        <v>578</v>
      </c>
      <c r="AE30" s="261" t="s">
        <v>478</v>
      </c>
      <c r="AF30" s="262">
        <v>1.7</v>
      </c>
      <c r="AG30" s="262">
        <v>0.2</v>
      </c>
      <c r="AH30" s="263">
        <v>0</v>
      </c>
      <c r="AI30" s="264">
        <f t="shared" si="65"/>
        <v>0.34</v>
      </c>
      <c r="AJ30" s="264">
        <v>0</v>
      </c>
      <c r="AK30" s="264">
        <v>0</v>
      </c>
      <c r="AL30" s="259">
        <f>60/0.093</f>
        <v>645.16129032258061</v>
      </c>
      <c r="AM30" s="259">
        <f>10/0.093</f>
        <v>107.52688172043011</v>
      </c>
      <c r="AN30" s="242">
        <f>ROUNDUP(AI30*AL30,0)</f>
        <v>220</v>
      </c>
      <c r="AO30" s="236">
        <f>AM30*AI30</f>
        <v>36.55913978494624</v>
      </c>
      <c r="AP30" s="248">
        <f t="shared" si="66"/>
        <v>2858</v>
      </c>
      <c r="AQ30" s="248">
        <f t="shared" si="67"/>
        <v>615</v>
      </c>
      <c r="AR30" s="261" t="s">
        <v>478</v>
      </c>
      <c r="AS30" s="262">
        <v>0.4</v>
      </c>
      <c r="AT30" s="262">
        <v>1</v>
      </c>
      <c r="AU30" s="241">
        <f t="shared" si="68"/>
        <v>0.4</v>
      </c>
      <c r="AV30" s="259">
        <f>60/0.093</f>
        <v>645.16129032258061</v>
      </c>
      <c r="AW30" s="259">
        <f>10/0.093</f>
        <v>107.52688172043011</v>
      </c>
      <c r="AX30" s="249">
        <f t="shared" ref="AX30" si="83">ROUNDUP(AU30*AV30,0)</f>
        <v>259</v>
      </c>
      <c r="AY30" s="250">
        <f t="shared" ref="AY30" si="84">ROUNDUP(AW30*AU30,0)</f>
        <v>44</v>
      </c>
      <c r="AZ30" s="245">
        <v>0</v>
      </c>
      <c r="BA30" s="251">
        <f t="shared" si="69"/>
        <v>0</v>
      </c>
      <c r="BB30" s="242">
        <v>500</v>
      </c>
      <c r="BC30" s="242">
        <v>250</v>
      </c>
      <c r="BD30" s="242">
        <f t="shared" si="70"/>
        <v>0</v>
      </c>
      <c r="BE30" s="236">
        <f t="shared" si="71"/>
        <v>0</v>
      </c>
      <c r="BF30" s="265">
        <f>IF(AZ30=0,ROUNDUP((M30*2*0.025+N30*0.025)*O30+((G30-M30*2*0.025)*(H30-M30*0.025)*2-AI30*2),1),ROUNDUP((M30*2*0.025+N30*0.025)*O30,1))</f>
        <v>5.6999999999999993</v>
      </c>
      <c r="BG30" s="259">
        <v>30</v>
      </c>
      <c r="BH30" s="259">
        <v>38</v>
      </c>
      <c r="BI30" s="259">
        <f t="shared" si="72"/>
        <v>171</v>
      </c>
      <c r="BJ30" s="266">
        <f t="shared" si="73"/>
        <v>217</v>
      </c>
      <c r="BK30" s="253">
        <f t="shared" si="74"/>
        <v>4253</v>
      </c>
      <c r="BL30" s="253">
        <f t="shared" si="75"/>
        <v>1438.5591397849462</v>
      </c>
      <c r="BM30" s="254">
        <f t="shared" si="76"/>
        <v>1275.8999999999999</v>
      </c>
      <c r="BN30" s="253">
        <f t="shared" si="77"/>
        <v>5600</v>
      </c>
      <c r="BO30" s="253">
        <f t="shared" si="78"/>
        <v>1500</v>
      </c>
      <c r="BP30" s="255">
        <f t="shared" si="79"/>
        <v>840</v>
      </c>
    </row>
    <row r="31" spans="1:68" s="256" customFormat="1" ht="24">
      <c r="A31" s="230" t="str">
        <f t="shared" si="56"/>
        <v xml:space="preserve"> - D5 วงกบบานประตูไม้เนื้อแข็ง กรุไม้อัดยางกันชื้น บานเปิดคู่ ขนาด 1.90x2.05 ม.</v>
      </c>
      <c r="B31" s="231" t="s">
        <v>508</v>
      </c>
      <c r="C31" s="232" t="s">
        <v>529</v>
      </c>
      <c r="D31" s="233"/>
      <c r="E31" s="233"/>
      <c r="F31" s="234">
        <v>2</v>
      </c>
      <c r="G31" s="235" t="s">
        <v>525</v>
      </c>
      <c r="H31" s="235" t="s">
        <v>487</v>
      </c>
      <c r="I31" s="236">
        <f t="shared" ref="I31" si="85">G31*H31</f>
        <v>3.8949999999999996</v>
      </c>
      <c r="J31" s="237">
        <f t="shared" ref="J31" si="86">BN31</f>
        <v>7300</v>
      </c>
      <c r="K31" s="237">
        <f t="shared" ref="K31" si="87">BO31</f>
        <v>2000</v>
      </c>
      <c r="L31" s="238"/>
      <c r="M31" s="239">
        <v>2</v>
      </c>
      <c r="N31" s="240">
        <v>4</v>
      </c>
      <c r="O31" s="241">
        <f t="shared" ref="O31" si="88">IF(M31=0,0,G31+H31*2)</f>
        <v>6</v>
      </c>
      <c r="P31" s="241">
        <f t="shared" ref="P31" si="89">IF(N31=4,134,335)</f>
        <v>134</v>
      </c>
      <c r="Q31" s="242">
        <v>40</v>
      </c>
      <c r="R31" s="242">
        <v>100</v>
      </c>
      <c r="S31" s="243">
        <f t="shared" ref="S31" si="90">ROUNDUP(O31*P31,0)</f>
        <v>804</v>
      </c>
      <c r="T31" s="244">
        <f t="shared" ref="T31" si="91">ROUNDUP(IF(M31=0,0,O31*Q31+I31*R31),0)</f>
        <v>630</v>
      </c>
      <c r="U31" s="245">
        <v>2</v>
      </c>
      <c r="V31" s="257">
        <v>0</v>
      </c>
      <c r="W31" s="259">
        <v>0</v>
      </c>
      <c r="X31" s="259">
        <v>0</v>
      </c>
      <c r="Y31" s="257">
        <f>(G31-M31*2*0.025)*(H31-M31*0.025)-(AI31)</f>
        <v>3.5999999999999992</v>
      </c>
      <c r="Z31" s="259">
        <v>1250</v>
      </c>
      <c r="AA31" s="242">
        <v>320</v>
      </c>
      <c r="AB31" s="242">
        <f>105</f>
        <v>105</v>
      </c>
      <c r="AC31" s="242">
        <f t="shared" ref="AC31" si="92">ROUNDUP(V31*W31+Y31*Z31,0)</f>
        <v>4500</v>
      </c>
      <c r="AD31" s="236">
        <f t="shared" ref="AD31" si="93">ROUNDUP((X31*U31)+(AA31*U31)+((G31-M31*2*0.025)*(H31-M31*0.025))*AB31,0)</f>
        <v>1018</v>
      </c>
      <c r="AE31" s="239" t="s">
        <v>469</v>
      </c>
      <c r="AF31" s="247">
        <v>0</v>
      </c>
      <c r="AG31" s="247">
        <v>0</v>
      </c>
      <c r="AH31" s="247">
        <v>0</v>
      </c>
      <c r="AI31" s="241">
        <f t="shared" ref="AI31" si="94">AF31*AG31*U31</f>
        <v>0</v>
      </c>
      <c r="AJ31" s="241">
        <f>AG31*AH31*U31</f>
        <v>0</v>
      </c>
      <c r="AK31" s="241">
        <f>AH31*U31</f>
        <v>0</v>
      </c>
      <c r="AL31" s="242">
        <v>48</v>
      </c>
      <c r="AM31" s="242">
        <v>27</v>
      </c>
      <c r="AN31" s="242">
        <f>ROUNDUP(AJ31*AL31,0)</f>
        <v>0</v>
      </c>
      <c r="AO31" s="236">
        <f>AM31*AK31</f>
        <v>0</v>
      </c>
      <c r="AP31" s="248">
        <f t="shared" ref="AP31" si="95">ROUNDUP((AC31+AN31)/U31,0)</f>
        <v>2250</v>
      </c>
      <c r="AQ31" s="248">
        <f t="shared" ref="AQ31" si="96">ROUNDUP((AD31+AO31)/U31,0)</f>
        <v>509</v>
      </c>
      <c r="AR31" s="239" t="s">
        <v>470</v>
      </c>
      <c r="AS31" s="247">
        <v>0</v>
      </c>
      <c r="AT31" s="247">
        <v>0</v>
      </c>
      <c r="AU31" s="241">
        <f t="shared" ref="AU31" si="97">AS31*AT31*U31</f>
        <v>0</v>
      </c>
      <c r="AV31" s="242">
        <f t="shared" ref="AV31" si="98">19/0.093</f>
        <v>204.30107526881721</v>
      </c>
      <c r="AW31" s="242">
        <f t="shared" ref="AW31" si="99">11/0.093</f>
        <v>118.27956989247312</v>
      </c>
      <c r="AX31" s="249">
        <f t="shared" ref="AX31" si="100">ROUNDUP(AU31*AV31,0)</f>
        <v>0</v>
      </c>
      <c r="AY31" s="250">
        <f t="shared" ref="AY31" si="101">ROUNDUP(AW31*AU31,0)</f>
        <v>0</v>
      </c>
      <c r="AZ31" s="245">
        <v>0</v>
      </c>
      <c r="BA31" s="251">
        <f t="shared" ref="BA31" si="102">IF(AZ31=0,0,((G31-M31*2*0.025)*(H31-M31*0.025))*2+0.04*((G31-M31*2*0.025)*2+(H31-M31*0.025)*2))</f>
        <v>0</v>
      </c>
      <c r="BB31" s="242">
        <v>500</v>
      </c>
      <c r="BC31" s="242">
        <v>250</v>
      </c>
      <c r="BD31" s="242">
        <f t="shared" ref="BD31" si="103">ROUNDUP(BA31*BB31,0)</f>
        <v>0</v>
      </c>
      <c r="BE31" s="236">
        <f t="shared" ref="BE31" si="104">ROUNDUP(BA31*BC31,0)</f>
        <v>0</v>
      </c>
      <c r="BF31" s="252">
        <f>IF(AZ31=0,ROUNDUP((M31*2*0.025+N31*0.025)*O31+((G31-M31*2*0.025)*(H31-M31*0.025)*2),1),ROUNDUP((M31*2*0.025+N31*0.025)*O31,1))</f>
        <v>8.4</v>
      </c>
      <c r="BG31" s="242">
        <v>30</v>
      </c>
      <c r="BH31" s="242">
        <v>38</v>
      </c>
      <c r="BI31" s="242">
        <f t="shared" ref="BI31" si="105">ROUNDUP(BF31*BG31,0)</f>
        <v>252</v>
      </c>
      <c r="BJ31" s="236">
        <f t="shared" ref="BJ31" si="106">ROUNDUP(BF31*BH31,0)</f>
        <v>320</v>
      </c>
      <c r="BK31" s="253">
        <f t="shared" ref="BK31" si="107">SUM(S31+AC31+AN31+AX31+BD31+BI31)</f>
        <v>5556</v>
      </c>
      <c r="BL31" s="253">
        <f t="shared" ref="BL31" si="108">SUM(T31+AD31+AO31+AY31+BE31+BJ31)</f>
        <v>1968</v>
      </c>
      <c r="BM31" s="254">
        <f t="shared" ref="BM31" si="109">BK31*30%</f>
        <v>1666.8</v>
      </c>
      <c r="BN31" s="253">
        <f t="shared" ref="BN31" si="110">ROUNDUP(BK31+BM31,-2)</f>
        <v>7300</v>
      </c>
      <c r="BO31" s="253">
        <f t="shared" ref="BO31" si="111">ROUNDUP(BL31,-2)</f>
        <v>2000</v>
      </c>
      <c r="BP31" s="255">
        <f t="shared" ref="BP31" si="112">BN31*15%</f>
        <v>1095</v>
      </c>
    </row>
    <row r="32" spans="1:68" ht="48">
      <c r="A32" s="230" t="str">
        <f t="shared" si="56"/>
        <v xml:space="preserve"> - D6 วงกบบานประตูอลูมิเนียม บานเปิดเดี่ยวและบานเลื่อนสลับ พร้อมช่องแสงติดตาย ลูกฟักกระจกลามิเนตใสตัดแสง หนา 3+3 มม. ขนาด 1.90x2.50 ม.</v>
      </c>
      <c r="B32" s="304" t="s">
        <v>509</v>
      </c>
      <c r="C32" s="284" t="s">
        <v>669</v>
      </c>
      <c r="D32" s="274"/>
      <c r="E32" s="274"/>
      <c r="F32" s="305">
        <v>4</v>
      </c>
      <c r="G32" s="306" t="s">
        <v>525</v>
      </c>
      <c r="H32" s="307" t="s">
        <v>528</v>
      </c>
      <c r="I32" s="284">
        <f t="shared" ref="I32:I36" si="113">G32*H32</f>
        <v>4.75</v>
      </c>
      <c r="J32" s="285">
        <v>38547</v>
      </c>
      <c r="K32" s="285">
        <v>0</v>
      </c>
      <c r="L32" s="305">
        <f>J32/I32</f>
        <v>8115.1578947368425</v>
      </c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</row>
    <row r="33" spans="1:69" s="256" customFormat="1" ht="48">
      <c r="A33" s="230" t="str">
        <f t="shared" si="56"/>
        <v xml:space="preserve"> - D7 ประตูวงกบไม้เนื้อแข็ง กรุไม้อัดยางกันชื้น บานเปิดคู่ พร้อมช่องแสงติดตาย ลูกฟักกระจกลามิเนตใสตัดแสง หนา 3+3 มม. ขนาด 1.90x2.50 ม.</v>
      </c>
      <c r="B33" s="231" t="s">
        <v>510</v>
      </c>
      <c r="C33" s="232" t="s">
        <v>668</v>
      </c>
      <c r="D33" s="233"/>
      <c r="E33" s="233"/>
      <c r="F33" s="234">
        <v>3</v>
      </c>
      <c r="G33" s="235" t="s">
        <v>525</v>
      </c>
      <c r="H33" s="235" t="s">
        <v>528</v>
      </c>
      <c r="I33" s="236">
        <f t="shared" si="113"/>
        <v>4.75</v>
      </c>
      <c r="J33" s="237">
        <f t="shared" ref="J33" si="114">BN33</f>
        <v>9800</v>
      </c>
      <c r="K33" s="237">
        <f t="shared" ref="K33" si="115">BO33</f>
        <v>2600</v>
      </c>
      <c r="L33" s="238"/>
      <c r="M33" s="239">
        <v>2</v>
      </c>
      <c r="N33" s="240">
        <v>4</v>
      </c>
      <c r="O33" s="275">
        <f>IF(M33=0,0,G33*2+H33*2+0.5)</f>
        <v>9.3000000000000007</v>
      </c>
      <c r="P33" s="241">
        <f t="shared" ref="P33" si="116">IF(N33=4,134,335)</f>
        <v>134</v>
      </c>
      <c r="Q33" s="242">
        <v>40</v>
      </c>
      <c r="R33" s="242">
        <v>100</v>
      </c>
      <c r="S33" s="243">
        <f t="shared" ref="S33" si="117">ROUNDUP(O33*P33,0)</f>
        <v>1247</v>
      </c>
      <c r="T33" s="244">
        <f t="shared" ref="T33" si="118">ROUNDUP(IF(M33=0,0,O33*Q33+I33*R33),0)</f>
        <v>847</v>
      </c>
      <c r="U33" s="245">
        <v>2</v>
      </c>
      <c r="V33" s="257">
        <v>0</v>
      </c>
      <c r="W33" s="259">
        <v>0</v>
      </c>
      <c r="X33" s="259">
        <v>0</v>
      </c>
      <c r="Y33" s="257">
        <f t="shared" ref="Y33:Y38" si="119">(G33-M33*2*0.025)*(H33-M33*0.025)-(AI33)</f>
        <v>3.73</v>
      </c>
      <c r="Z33" s="259">
        <v>1250</v>
      </c>
      <c r="AA33" s="242">
        <v>320</v>
      </c>
      <c r="AB33" s="242">
        <f>105</f>
        <v>105</v>
      </c>
      <c r="AC33" s="242">
        <f t="shared" ref="AC33" si="120">ROUNDUP(V33*W33+Y33*Z33,0)</f>
        <v>4663</v>
      </c>
      <c r="AD33" s="236">
        <f t="shared" ref="AD33" si="121">ROUNDUP((X33*U33)+(AA33*U33)+((G33-M33*2*0.025)*(H33-M33*0.025))*AB33,0)</f>
        <v>1104</v>
      </c>
      <c r="AE33" s="261" t="s">
        <v>478</v>
      </c>
      <c r="AF33" s="262">
        <v>1.7</v>
      </c>
      <c r="AG33" s="262">
        <v>0.2</v>
      </c>
      <c r="AH33" s="263">
        <v>0</v>
      </c>
      <c r="AI33" s="264">
        <f t="shared" ref="AI33" si="122">AF33*AG33*U33</f>
        <v>0.68</v>
      </c>
      <c r="AJ33" s="264">
        <v>0</v>
      </c>
      <c r="AK33" s="264">
        <v>0</v>
      </c>
      <c r="AL33" s="259">
        <f>60/0.093</f>
        <v>645.16129032258061</v>
      </c>
      <c r="AM33" s="259">
        <f>10/0.093</f>
        <v>107.52688172043011</v>
      </c>
      <c r="AN33" s="242">
        <f>ROUNDUP(AI33*AL33,0)</f>
        <v>439</v>
      </c>
      <c r="AO33" s="236">
        <f>AM33*AI33</f>
        <v>73.118279569892479</v>
      </c>
      <c r="AP33" s="248">
        <f t="shared" ref="AP33" si="123">ROUNDUP((AC33+AN33)/U33,0)</f>
        <v>2551</v>
      </c>
      <c r="AQ33" s="248">
        <f t="shared" ref="AQ33" si="124">ROUNDUP((AD33+AO33)/U33,0)</f>
        <v>589</v>
      </c>
      <c r="AR33" s="261" t="s">
        <v>478</v>
      </c>
      <c r="AS33" s="262">
        <v>0.4</v>
      </c>
      <c r="AT33" s="262">
        <v>1.75</v>
      </c>
      <c r="AU33" s="241">
        <f t="shared" ref="AU33" si="125">AS33*AT33*U33</f>
        <v>1.4000000000000001</v>
      </c>
      <c r="AV33" s="259">
        <f>60/0.093</f>
        <v>645.16129032258061</v>
      </c>
      <c r="AW33" s="259">
        <f>10/0.093</f>
        <v>107.52688172043011</v>
      </c>
      <c r="AX33" s="249">
        <f t="shared" ref="AX33" si="126">ROUNDUP(AU33*AV33,0)</f>
        <v>904</v>
      </c>
      <c r="AY33" s="250">
        <f t="shared" ref="AY33" si="127">ROUNDUP(AW33*AU33,0)</f>
        <v>151</v>
      </c>
      <c r="AZ33" s="245">
        <v>0</v>
      </c>
      <c r="BA33" s="251">
        <f t="shared" ref="BA33" si="128">IF(AZ33=0,0,((G33-M33*2*0.025)*(H33-M33*0.025))*2+0.04*((G33-M33*2*0.025)*2+(H33-M33*0.025)*2))</f>
        <v>0</v>
      </c>
      <c r="BB33" s="242">
        <v>500</v>
      </c>
      <c r="BC33" s="242">
        <v>250</v>
      </c>
      <c r="BD33" s="242">
        <f t="shared" ref="BD33" si="129">ROUNDUP(BA33*BB33,0)</f>
        <v>0</v>
      </c>
      <c r="BE33" s="236">
        <f t="shared" ref="BE33" si="130">ROUNDUP(BA33*BC33,0)</f>
        <v>0</v>
      </c>
      <c r="BF33" s="265">
        <f>IF(AZ33=0,ROUNDUP((M33*2*0.025+N33*0.025)*O33+((G33-M33*2*0.025)*(H33-M33*0.025)*2-AI33*2),1),ROUNDUP((M33*2*0.025+N33*0.025)*O33,1))</f>
        <v>9.4</v>
      </c>
      <c r="BG33" s="259">
        <v>30</v>
      </c>
      <c r="BH33" s="259">
        <v>38</v>
      </c>
      <c r="BI33" s="259">
        <f t="shared" ref="BI33" si="131">ROUNDUP(BF33*BG33,0)</f>
        <v>282</v>
      </c>
      <c r="BJ33" s="266">
        <f t="shared" ref="BJ33" si="132">ROUNDUP(BF33*BH33,0)</f>
        <v>358</v>
      </c>
      <c r="BK33" s="253">
        <f t="shared" ref="BK33" si="133">SUM(S33+AC33+AN33+AX33+BD33+BI33)</f>
        <v>7535</v>
      </c>
      <c r="BL33" s="253">
        <f t="shared" ref="BL33" si="134">SUM(T33+AD33+AO33+AY33+BE33+BJ33)</f>
        <v>2533.1182795698924</v>
      </c>
      <c r="BM33" s="254">
        <f t="shared" ref="BM33" si="135">BK33*30%</f>
        <v>2260.5</v>
      </c>
      <c r="BN33" s="253">
        <f t="shared" ref="BN33" si="136">ROUNDUP(BK33+BM33,-2)</f>
        <v>9800</v>
      </c>
      <c r="BO33" s="253">
        <f t="shared" ref="BO33" si="137">ROUNDUP(BL33,-2)</f>
        <v>2600</v>
      </c>
      <c r="BP33" s="255">
        <f t="shared" ref="BP33" si="138">BN33*15%</f>
        <v>1470</v>
      </c>
    </row>
    <row r="34" spans="1:69" s="256" customFormat="1" ht="48">
      <c r="A34" s="230" t="str">
        <f t="shared" si="56"/>
        <v xml:space="preserve"> - D8 วงกบบานประตูไม้เนื้อแข็ง กรุไม้อัดยางกันชื้น บานเปิดเดี่ยว ขนาด 1.00x2.05 ม.</v>
      </c>
      <c r="B34" s="231" t="s">
        <v>512</v>
      </c>
      <c r="C34" s="232" t="s">
        <v>514</v>
      </c>
      <c r="D34" s="233"/>
      <c r="E34" s="233"/>
      <c r="F34" s="234">
        <v>2</v>
      </c>
      <c r="G34" s="235" t="s">
        <v>468</v>
      </c>
      <c r="H34" s="235" t="s">
        <v>487</v>
      </c>
      <c r="I34" s="236">
        <f t="shared" si="113"/>
        <v>2.0499999999999998</v>
      </c>
      <c r="J34" s="237">
        <f t="shared" ref="J34:J36" si="139">BN34</f>
        <v>4000</v>
      </c>
      <c r="K34" s="237">
        <f t="shared" ref="K34:K36" si="140">BO34</f>
        <v>1100</v>
      </c>
      <c r="L34" s="238"/>
      <c r="M34" s="239">
        <v>2</v>
      </c>
      <c r="N34" s="240">
        <v>4</v>
      </c>
      <c r="O34" s="241">
        <f t="shared" ref="O34:O36" si="141">IF(M34=0,0,G34+H34*2)</f>
        <v>5.0999999999999996</v>
      </c>
      <c r="P34" s="241">
        <f t="shared" ref="P34:P36" si="142">IF(N34=4,134,335)</f>
        <v>134</v>
      </c>
      <c r="Q34" s="242">
        <v>40</v>
      </c>
      <c r="R34" s="242">
        <v>100</v>
      </c>
      <c r="S34" s="243">
        <f t="shared" ref="S34:S36" si="143">ROUNDUP(O34*P34,0)</f>
        <v>684</v>
      </c>
      <c r="T34" s="244">
        <f t="shared" ref="T34:T36" si="144">ROUNDUP(IF(M34=0,0,O34*Q34+I34*R34),0)</f>
        <v>409</v>
      </c>
      <c r="U34" s="245">
        <v>1</v>
      </c>
      <c r="V34" s="257">
        <v>0</v>
      </c>
      <c r="W34" s="259">
        <v>0</v>
      </c>
      <c r="X34" s="259">
        <v>0</v>
      </c>
      <c r="Y34" s="257">
        <f t="shared" si="119"/>
        <v>1.7999999999999998</v>
      </c>
      <c r="Z34" s="259">
        <v>1250</v>
      </c>
      <c r="AA34" s="242">
        <v>320</v>
      </c>
      <c r="AB34" s="242">
        <f>105</f>
        <v>105</v>
      </c>
      <c r="AC34" s="242">
        <f t="shared" ref="AC34" si="145">ROUNDUP(V34*W34+Y34*Z34,0)</f>
        <v>2250</v>
      </c>
      <c r="AD34" s="236">
        <f t="shared" ref="AD34" si="146">ROUNDUP((X34*U34)+(AA34*U34)+((G34-M34*2*0.025)*(H34-M34*0.025))*AB34,0)</f>
        <v>509</v>
      </c>
      <c r="AE34" s="239" t="s">
        <v>469</v>
      </c>
      <c r="AF34" s="247">
        <v>0</v>
      </c>
      <c r="AG34" s="247">
        <v>0</v>
      </c>
      <c r="AH34" s="247">
        <v>0</v>
      </c>
      <c r="AI34" s="241">
        <f t="shared" ref="AI34:AI36" si="147">AF34*AG34*U34</f>
        <v>0</v>
      </c>
      <c r="AJ34" s="241">
        <f>AG34*AH34*U34</f>
        <v>0</v>
      </c>
      <c r="AK34" s="241">
        <f>AH34*U34</f>
        <v>0</v>
      </c>
      <c r="AL34" s="242">
        <v>48</v>
      </c>
      <c r="AM34" s="242">
        <v>27</v>
      </c>
      <c r="AN34" s="242">
        <f>ROUNDUP(AJ34*AL34,0)</f>
        <v>0</v>
      </c>
      <c r="AO34" s="236">
        <f>AM34*AK34</f>
        <v>0</v>
      </c>
      <c r="AP34" s="248">
        <f t="shared" ref="AP34:AP36" si="148">ROUNDUP((AC34+AN34)/U34,0)</f>
        <v>2250</v>
      </c>
      <c r="AQ34" s="248">
        <f t="shared" ref="AQ34:AQ36" si="149">ROUNDUP((AD34+AO34)/U34,0)</f>
        <v>509</v>
      </c>
      <c r="AR34" s="239" t="s">
        <v>470</v>
      </c>
      <c r="AS34" s="247">
        <v>0</v>
      </c>
      <c r="AT34" s="247">
        <v>0</v>
      </c>
      <c r="AU34" s="241">
        <f t="shared" ref="AU34:AU36" si="150">AS34*AT34*U34</f>
        <v>0</v>
      </c>
      <c r="AV34" s="242">
        <f t="shared" ref="AV34" si="151">19/0.093</f>
        <v>204.30107526881721</v>
      </c>
      <c r="AW34" s="242">
        <f t="shared" ref="AW34" si="152">11/0.093</f>
        <v>118.27956989247312</v>
      </c>
      <c r="AX34" s="249">
        <f t="shared" ref="AX34:AX36" si="153">ROUNDUP(AU34*AV34,0)</f>
        <v>0</v>
      </c>
      <c r="AY34" s="250">
        <f t="shared" ref="AY34:AY36" si="154">ROUNDUP(AW34*AU34,0)</f>
        <v>0</v>
      </c>
      <c r="AZ34" s="245">
        <v>0</v>
      </c>
      <c r="BA34" s="251">
        <f t="shared" ref="BA34:BA36" si="155">IF(AZ34=0,0,((G34-M34*2*0.025)*(H34-M34*0.025))*2+0.04*((G34-M34*2*0.025)*2+(H34-M34*0.025)*2))</f>
        <v>0</v>
      </c>
      <c r="BB34" s="242">
        <v>500</v>
      </c>
      <c r="BC34" s="242">
        <v>250</v>
      </c>
      <c r="BD34" s="242">
        <f t="shared" ref="BD34:BD36" si="156">ROUNDUP(BA34*BB34,0)</f>
        <v>0</v>
      </c>
      <c r="BE34" s="236">
        <f t="shared" ref="BE34:BE36" si="157">ROUNDUP(BA34*BC34,0)</f>
        <v>0</v>
      </c>
      <c r="BF34" s="252">
        <f>IF(AZ34=0,ROUNDUP((M34*2*0.025+N34*0.025)*O34+((G34-M34*2*0.025)*(H34-M34*0.025)*2),1),ROUNDUP((M34*2*0.025+N34*0.025)*O34,1))</f>
        <v>4.6999999999999993</v>
      </c>
      <c r="BG34" s="242">
        <v>30</v>
      </c>
      <c r="BH34" s="242">
        <v>38</v>
      </c>
      <c r="BI34" s="242">
        <f t="shared" ref="BI34:BI36" si="158">ROUNDUP(BF34*BG34,0)</f>
        <v>141</v>
      </c>
      <c r="BJ34" s="236">
        <f t="shared" ref="BJ34:BJ36" si="159">ROUNDUP(BF34*BH34,0)</f>
        <v>179</v>
      </c>
      <c r="BK34" s="253">
        <f t="shared" ref="BK34:BK36" si="160">SUM(S34+AC34+AN34+AX34+BD34+BI34)</f>
        <v>3075</v>
      </c>
      <c r="BL34" s="253">
        <f t="shared" ref="BL34:BL36" si="161">SUM(T34+AD34+AO34+AY34+BE34+BJ34)</f>
        <v>1097</v>
      </c>
      <c r="BM34" s="254">
        <f t="shared" ref="BM34:BM36" si="162">BK34*30%</f>
        <v>922.5</v>
      </c>
      <c r="BN34" s="253">
        <f t="shared" ref="BN34:BN36" si="163">ROUNDUP(BK34+BM34,-2)</f>
        <v>4000</v>
      </c>
      <c r="BO34" s="253">
        <f t="shared" ref="BO34:BO36" si="164">ROUNDUP(BL34,-2)</f>
        <v>1100</v>
      </c>
      <c r="BP34" s="255">
        <f t="shared" ref="BP34:BP36" si="165">BN34*15%</f>
        <v>600</v>
      </c>
    </row>
    <row r="35" spans="1:69" s="256" customFormat="1" ht="48">
      <c r="A35" s="230" t="str">
        <f t="shared" si="56"/>
        <v xml:space="preserve"> - D9 วงกบบานประตูไม้เนื้อแข็ง กรุไม้อัดยางกันชื้น บานเปิดเดี่ยว ลูกฟักกระจกลามิเนตใส หนา 3+3 มม. ขนาด 0.90x2.05 ม.</v>
      </c>
      <c r="B35" s="231" t="s">
        <v>513</v>
      </c>
      <c r="C35" s="232" t="s">
        <v>672</v>
      </c>
      <c r="D35" s="233"/>
      <c r="E35" s="233"/>
      <c r="F35" s="234">
        <v>2</v>
      </c>
      <c r="G35" s="235" t="s">
        <v>486</v>
      </c>
      <c r="H35" s="235" t="s">
        <v>487</v>
      </c>
      <c r="I35" s="236">
        <f t="shared" si="113"/>
        <v>1.845</v>
      </c>
      <c r="J35" s="237">
        <f t="shared" si="139"/>
        <v>3600</v>
      </c>
      <c r="K35" s="237">
        <f t="shared" si="140"/>
        <v>1100</v>
      </c>
      <c r="L35" s="238"/>
      <c r="M35" s="239">
        <v>2</v>
      </c>
      <c r="N35" s="240">
        <v>4</v>
      </c>
      <c r="O35" s="241">
        <f t="shared" si="141"/>
        <v>5</v>
      </c>
      <c r="P35" s="241">
        <f t="shared" si="142"/>
        <v>134</v>
      </c>
      <c r="Q35" s="242">
        <v>40</v>
      </c>
      <c r="R35" s="242">
        <v>100</v>
      </c>
      <c r="S35" s="243">
        <f t="shared" si="143"/>
        <v>670</v>
      </c>
      <c r="T35" s="244">
        <f t="shared" si="144"/>
        <v>385</v>
      </c>
      <c r="U35" s="245">
        <v>1</v>
      </c>
      <c r="V35" s="257">
        <v>0</v>
      </c>
      <c r="W35" s="259">
        <v>0</v>
      </c>
      <c r="X35" s="259">
        <v>0</v>
      </c>
      <c r="Y35" s="257">
        <f t="shared" si="119"/>
        <v>1.48</v>
      </c>
      <c r="Z35" s="259">
        <v>1250</v>
      </c>
      <c r="AA35" s="242">
        <v>320</v>
      </c>
      <c r="AB35" s="242">
        <f>105</f>
        <v>105</v>
      </c>
      <c r="AC35" s="242">
        <f t="shared" ref="AC35:AC36" si="166">ROUNDUP(V35*W35+Y35*Z35,0)</f>
        <v>1850</v>
      </c>
      <c r="AD35" s="236">
        <f t="shared" ref="AD35:AD36" si="167">ROUNDUP((X35*U35)+(AA35*U35)+((G35-M35*2*0.025)*(H35-M35*0.025))*AB35,0)</f>
        <v>488</v>
      </c>
      <c r="AE35" s="261" t="s">
        <v>478</v>
      </c>
      <c r="AF35" s="262">
        <v>0.6</v>
      </c>
      <c r="AG35" s="262">
        <v>0.2</v>
      </c>
      <c r="AH35" s="263">
        <v>0</v>
      </c>
      <c r="AI35" s="264">
        <f t="shared" si="147"/>
        <v>0.12</v>
      </c>
      <c r="AJ35" s="264">
        <v>0</v>
      </c>
      <c r="AK35" s="264">
        <v>0</v>
      </c>
      <c r="AL35" s="259">
        <f>60/0.093</f>
        <v>645.16129032258061</v>
      </c>
      <c r="AM35" s="259">
        <f>10/0.093</f>
        <v>107.52688172043011</v>
      </c>
      <c r="AN35" s="242">
        <f>ROUNDUP(AI35*AL35,0)</f>
        <v>78</v>
      </c>
      <c r="AO35" s="236">
        <f>AM35*AI35</f>
        <v>12.903225806451612</v>
      </c>
      <c r="AP35" s="248">
        <f t="shared" si="148"/>
        <v>1928</v>
      </c>
      <c r="AQ35" s="248">
        <f t="shared" si="149"/>
        <v>501</v>
      </c>
      <c r="AR35" s="239" t="s">
        <v>470</v>
      </c>
      <c r="AS35" s="247">
        <v>0</v>
      </c>
      <c r="AT35" s="247">
        <v>0</v>
      </c>
      <c r="AU35" s="241">
        <f t="shared" si="150"/>
        <v>0</v>
      </c>
      <c r="AV35" s="242">
        <f>19/0.093</f>
        <v>204.30107526881721</v>
      </c>
      <c r="AW35" s="242">
        <f>11/0.093</f>
        <v>118.27956989247312</v>
      </c>
      <c r="AX35" s="249">
        <f t="shared" si="153"/>
        <v>0</v>
      </c>
      <c r="AY35" s="250">
        <f t="shared" si="154"/>
        <v>0</v>
      </c>
      <c r="AZ35" s="245">
        <v>0</v>
      </c>
      <c r="BA35" s="251">
        <f t="shared" si="155"/>
        <v>0</v>
      </c>
      <c r="BB35" s="242">
        <v>500</v>
      </c>
      <c r="BC35" s="242">
        <v>250</v>
      </c>
      <c r="BD35" s="242">
        <f t="shared" si="156"/>
        <v>0</v>
      </c>
      <c r="BE35" s="236">
        <f t="shared" si="157"/>
        <v>0</v>
      </c>
      <c r="BF35" s="265">
        <f>IF(AZ35=0,ROUNDUP((M35*2*0.025+N35*0.025)*O35+((G35-M35*2*0.025)*(H35-M35*0.025)*2-AI35*2),1),ROUNDUP((M35*2*0.025+N35*0.025)*O35,1))</f>
        <v>4</v>
      </c>
      <c r="BG35" s="259">
        <v>30</v>
      </c>
      <c r="BH35" s="259">
        <v>38</v>
      </c>
      <c r="BI35" s="259">
        <f t="shared" si="158"/>
        <v>120</v>
      </c>
      <c r="BJ35" s="266">
        <f t="shared" si="159"/>
        <v>152</v>
      </c>
      <c r="BK35" s="253">
        <f t="shared" si="160"/>
        <v>2718</v>
      </c>
      <c r="BL35" s="253">
        <f t="shared" si="161"/>
        <v>1037.9032258064517</v>
      </c>
      <c r="BM35" s="254">
        <f t="shared" si="162"/>
        <v>815.4</v>
      </c>
      <c r="BN35" s="253">
        <f t="shared" si="163"/>
        <v>3600</v>
      </c>
      <c r="BO35" s="253">
        <f t="shared" si="164"/>
        <v>1100</v>
      </c>
      <c r="BP35" s="255">
        <f t="shared" si="165"/>
        <v>540</v>
      </c>
    </row>
    <row r="36" spans="1:69" s="256" customFormat="1" ht="24">
      <c r="A36" s="230" t="str">
        <f t="shared" si="56"/>
        <v xml:space="preserve"> - D10 วงกบบานประตูไม้เนื้อแข็ง กรุไม้อัดยางกันชื้น บานเปิดคู่ ขนาด 1.90x2.05 ม.</v>
      </c>
      <c r="B36" s="231" t="s">
        <v>226</v>
      </c>
      <c r="C36" s="232" t="s">
        <v>529</v>
      </c>
      <c r="D36" s="233"/>
      <c r="E36" s="233"/>
      <c r="F36" s="234">
        <v>1</v>
      </c>
      <c r="G36" s="235" t="s">
        <v>525</v>
      </c>
      <c r="H36" s="235" t="s">
        <v>487</v>
      </c>
      <c r="I36" s="236">
        <f t="shared" si="113"/>
        <v>3.8949999999999996</v>
      </c>
      <c r="J36" s="237">
        <f t="shared" si="139"/>
        <v>7300</v>
      </c>
      <c r="K36" s="237">
        <f t="shared" si="140"/>
        <v>2000</v>
      </c>
      <c r="L36" s="238"/>
      <c r="M36" s="239">
        <v>2</v>
      </c>
      <c r="N36" s="240">
        <v>4</v>
      </c>
      <c r="O36" s="241">
        <f t="shared" si="141"/>
        <v>6</v>
      </c>
      <c r="P36" s="241">
        <f t="shared" si="142"/>
        <v>134</v>
      </c>
      <c r="Q36" s="242">
        <v>40</v>
      </c>
      <c r="R36" s="242">
        <v>100</v>
      </c>
      <c r="S36" s="243">
        <f t="shared" si="143"/>
        <v>804</v>
      </c>
      <c r="T36" s="244">
        <f t="shared" si="144"/>
        <v>630</v>
      </c>
      <c r="U36" s="245">
        <v>2</v>
      </c>
      <c r="V36" s="257">
        <v>0</v>
      </c>
      <c r="W36" s="259">
        <v>0</v>
      </c>
      <c r="X36" s="259">
        <v>0</v>
      </c>
      <c r="Y36" s="257">
        <f t="shared" si="119"/>
        <v>3.5999999999999992</v>
      </c>
      <c r="Z36" s="259">
        <v>1250</v>
      </c>
      <c r="AA36" s="242">
        <v>320</v>
      </c>
      <c r="AB36" s="242">
        <f>105</f>
        <v>105</v>
      </c>
      <c r="AC36" s="242">
        <f t="shared" si="166"/>
        <v>4500</v>
      </c>
      <c r="AD36" s="236">
        <f t="shared" si="167"/>
        <v>1018</v>
      </c>
      <c r="AE36" s="239" t="s">
        <v>469</v>
      </c>
      <c r="AF36" s="247">
        <v>0</v>
      </c>
      <c r="AG36" s="247">
        <v>0</v>
      </c>
      <c r="AH36" s="247">
        <v>0</v>
      </c>
      <c r="AI36" s="241">
        <f t="shared" si="147"/>
        <v>0</v>
      </c>
      <c r="AJ36" s="241">
        <f>AG36*AH36*U36</f>
        <v>0</v>
      </c>
      <c r="AK36" s="241">
        <f>AH36*U36</f>
        <v>0</v>
      </c>
      <c r="AL36" s="242">
        <v>48</v>
      </c>
      <c r="AM36" s="242">
        <v>27</v>
      </c>
      <c r="AN36" s="242">
        <f>ROUNDUP(AJ36*AL36,0)</f>
        <v>0</v>
      </c>
      <c r="AO36" s="236">
        <f>AM36*AK36</f>
        <v>0</v>
      </c>
      <c r="AP36" s="248">
        <f t="shared" si="148"/>
        <v>2250</v>
      </c>
      <c r="AQ36" s="248">
        <f t="shared" si="149"/>
        <v>509</v>
      </c>
      <c r="AR36" s="239" t="s">
        <v>470</v>
      </c>
      <c r="AS36" s="247">
        <v>0</v>
      </c>
      <c r="AT36" s="247">
        <v>0</v>
      </c>
      <c r="AU36" s="241">
        <f t="shared" si="150"/>
        <v>0</v>
      </c>
      <c r="AV36" s="242">
        <f t="shared" ref="AV36" si="168">19/0.093</f>
        <v>204.30107526881721</v>
      </c>
      <c r="AW36" s="242">
        <f t="shared" ref="AW36" si="169">11/0.093</f>
        <v>118.27956989247312</v>
      </c>
      <c r="AX36" s="249">
        <f t="shared" si="153"/>
        <v>0</v>
      </c>
      <c r="AY36" s="250">
        <f t="shared" si="154"/>
        <v>0</v>
      </c>
      <c r="AZ36" s="245">
        <v>0</v>
      </c>
      <c r="BA36" s="251">
        <f t="shared" si="155"/>
        <v>0</v>
      </c>
      <c r="BB36" s="242">
        <v>500</v>
      </c>
      <c r="BC36" s="242">
        <v>250</v>
      </c>
      <c r="BD36" s="242">
        <f t="shared" si="156"/>
        <v>0</v>
      </c>
      <c r="BE36" s="236">
        <f t="shared" si="157"/>
        <v>0</v>
      </c>
      <c r="BF36" s="252">
        <f>IF(AZ36=0,ROUNDUP((M36*2*0.025+N36*0.025)*O36+((G36-M36*2*0.025)*(H36-M36*0.025)*2),1),ROUNDUP((M36*2*0.025+N36*0.025)*O36,1))</f>
        <v>8.4</v>
      </c>
      <c r="BG36" s="242">
        <v>30</v>
      </c>
      <c r="BH36" s="242">
        <v>38</v>
      </c>
      <c r="BI36" s="242">
        <f t="shared" si="158"/>
        <v>252</v>
      </c>
      <c r="BJ36" s="236">
        <f t="shared" si="159"/>
        <v>320</v>
      </c>
      <c r="BK36" s="253">
        <f t="shared" si="160"/>
        <v>5556</v>
      </c>
      <c r="BL36" s="253">
        <f t="shared" si="161"/>
        <v>1968</v>
      </c>
      <c r="BM36" s="254">
        <f t="shared" si="162"/>
        <v>1666.8</v>
      </c>
      <c r="BN36" s="253">
        <f t="shared" si="163"/>
        <v>7300</v>
      </c>
      <c r="BO36" s="253">
        <f t="shared" si="164"/>
        <v>2000</v>
      </c>
      <c r="BP36" s="255">
        <f t="shared" si="165"/>
        <v>1095</v>
      </c>
    </row>
    <row r="37" spans="1:69" s="256" customFormat="1" ht="48">
      <c r="A37" s="230" t="str">
        <f t="shared" si="56"/>
        <v xml:space="preserve"> - D11 วงกบบานประตูไม้เนื้อแข็ง กรุไม้อัดยางกันชื้น บานเปิดเดี่ยว ขนาด 1.10x2.05 ม.</v>
      </c>
      <c r="B37" s="231" t="s">
        <v>228</v>
      </c>
      <c r="C37" s="232" t="s">
        <v>514</v>
      </c>
      <c r="D37" s="233"/>
      <c r="E37" s="233"/>
      <c r="F37" s="234">
        <v>1</v>
      </c>
      <c r="G37" s="235" t="s">
        <v>511</v>
      </c>
      <c r="H37" s="235" t="s">
        <v>487</v>
      </c>
      <c r="I37" s="236">
        <f t="shared" ref="I37" si="170">G37*H37</f>
        <v>2.2549999999999999</v>
      </c>
      <c r="J37" s="237">
        <f t="shared" ref="J37" si="171">BN37</f>
        <v>4400</v>
      </c>
      <c r="K37" s="237">
        <f t="shared" ref="K37" si="172">BO37</f>
        <v>1200</v>
      </c>
      <c r="L37" s="238"/>
      <c r="M37" s="239">
        <v>2</v>
      </c>
      <c r="N37" s="240">
        <v>4</v>
      </c>
      <c r="O37" s="241">
        <f t="shared" ref="O37" si="173">IF(M37=0,0,G37+H37*2)</f>
        <v>5.1999999999999993</v>
      </c>
      <c r="P37" s="241">
        <f t="shared" ref="P37" si="174">IF(N37=4,134,335)</f>
        <v>134</v>
      </c>
      <c r="Q37" s="242">
        <v>40</v>
      </c>
      <c r="R37" s="242">
        <v>100</v>
      </c>
      <c r="S37" s="243">
        <f t="shared" ref="S37" si="175">ROUNDUP(O37*P37,0)</f>
        <v>697</v>
      </c>
      <c r="T37" s="244">
        <f t="shared" ref="T37" si="176">ROUNDUP(IF(M37=0,0,O37*Q37+I37*R37),0)</f>
        <v>434</v>
      </c>
      <c r="U37" s="245">
        <v>1</v>
      </c>
      <c r="V37" s="257">
        <v>0</v>
      </c>
      <c r="W37" s="259">
        <v>0</v>
      </c>
      <c r="X37" s="259">
        <v>0</v>
      </c>
      <c r="Y37" s="257">
        <f t="shared" si="119"/>
        <v>1.9999999999999998</v>
      </c>
      <c r="Z37" s="259">
        <v>1250</v>
      </c>
      <c r="AA37" s="242">
        <v>320</v>
      </c>
      <c r="AB37" s="242">
        <f>105</f>
        <v>105</v>
      </c>
      <c r="AC37" s="242">
        <f t="shared" ref="AC37" si="177">ROUNDUP(V37*W37+Y37*Z37,0)</f>
        <v>2500</v>
      </c>
      <c r="AD37" s="236">
        <f t="shared" ref="AD37" si="178">ROUNDUP((X37*U37)+(AA37*U37)+((G37-M37*2*0.025)*(H37-M37*0.025))*AB37,0)</f>
        <v>530</v>
      </c>
      <c r="AE37" s="239" t="s">
        <v>469</v>
      </c>
      <c r="AF37" s="247">
        <v>0</v>
      </c>
      <c r="AG37" s="247">
        <v>0</v>
      </c>
      <c r="AH37" s="247">
        <v>0</v>
      </c>
      <c r="AI37" s="241">
        <f t="shared" ref="AI37" si="179">AF37*AG37*U37</f>
        <v>0</v>
      </c>
      <c r="AJ37" s="241">
        <f>AG37*AH37*U37</f>
        <v>0</v>
      </c>
      <c r="AK37" s="241">
        <f>AH37*U37</f>
        <v>0</v>
      </c>
      <c r="AL37" s="242">
        <v>48</v>
      </c>
      <c r="AM37" s="242">
        <v>27</v>
      </c>
      <c r="AN37" s="242">
        <f>ROUNDUP(AJ37*AL37,0)</f>
        <v>0</v>
      </c>
      <c r="AO37" s="236">
        <f>AM37*AK37</f>
        <v>0</v>
      </c>
      <c r="AP37" s="248">
        <f t="shared" ref="AP37" si="180">ROUNDUP((AC37+AN37)/U37,0)</f>
        <v>2500</v>
      </c>
      <c r="AQ37" s="248">
        <f t="shared" ref="AQ37" si="181">ROUNDUP((AD37+AO37)/U37,0)</f>
        <v>530</v>
      </c>
      <c r="AR37" s="239" t="s">
        <v>470</v>
      </c>
      <c r="AS37" s="247">
        <v>0</v>
      </c>
      <c r="AT37" s="247">
        <v>0</v>
      </c>
      <c r="AU37" s="241">
        <f t="shared" ref="AU37" si="182">AS37*AT37*U37</f>
        <v>0</v>
      </c>
      <c r="AV37" s="242">
        <f t="shared" ref="AV37:AV38" si="183">19/0.093</f>
        <v>204.30107526881721</v>
      </c>
      <c r="AW37" s="242">
        <f t="shared" ref="AW37:AW38" si="184">11/0.093</f>
        <v>118.27956989247312</v>
      </c>
      <c r="AX37" s="249">
        <f t="shared" ref="AX37" si="185">ROUNDUP(AU37*AV37,0)</f>
        <v>0</v>
      </c>
      <c r="AY37" s="250">
        <f t="shared" ref="AY37" si="186">ROUNDUP(AW37*AU37,0)</f>
        <v>0</v>
      </c>
      <c r="AZ37" s="245">
        <v>0</v>
      </c>
      <c r="BA37" s="251">
        <f t="shared" ref="BA37" si="187">IF(AZ37=0,0,((G37-M37*2*0.025)*(H37-M37*0.025))*2+0.04*((G37-M37*2*0.025)*2+(H37-M37*0.025)*2))</f>
        <v>0</v>
      </c>
      <c r="BB37" s="242">
        <v>500</v>
      </c>
      <c r="BC37" s="242">
        <v>250</v>
      </c>
      <c r="BD37" s="242">
        <f t="shared" ref="BD37" si="188">ROUNDUP(BA37*BB37,0)</f>
        <v>0</v>
      </c>
      <c r="BE37" s="236">
        <f t="shared" ref="BE37" si="189">ROUNDUP(BA37*BC37,0)</f>
        <v>0</v>
      </c>
      <c r="BF37" s="252">
        <f>IF(AZ37=0,ROUNDUP((M37*2*0.025+N37*0.025)*O37+((G37-M37*2*0.025)*(H37-M37*0.025)*2),1),ROUNDUP((M37*2*0.025+N37*0.025)*O37,1))</f>
        <v>5.0999999999999996</v>
      </c>
      <c r="BG37" s="242">
        <v>30</v>
      </c>
      <c r="BH37" s="242">
        <v>38</v>
      </c>
      <c r="BI37" s="242">
        <f t="shared" ref="BI37" si="190">ROUNDUP(BF37*BG37,0)</f>
        <v>153</v>
      </c>
      <c r="BJ37" s="236">
        <f t="shared" ref="BJ37" si="191">ROUNDUP(BF37*BH37,0)</f>
        <v>194</v>
      </c>
      <c r="BK37" s="253">
        <f t="shared" ref="BK37" si="192">SUM(S37+AC37+AN37+AX37+BD37+BI37)</f>
        <v>3350</v>
      </c>
      <c r="BL37" s="253">
        <f t="shared" ref="BL37" si="193">SUM(T37+AD37+AO37+AY37+BE37+BJ37)</f>
        <v>1158</v>
      </c>
      <c r="BM37" s="254">
        <f t="shared" ref="BM37" si="194">BK37*30%</f>
        <v>1005</v>
      </c>
      <c r="BN37" s="253">
        <f t="shared" ref="BN37" si="195">ROUNDUP(BK37+BM37,-2)</f>
        <v>4400</v>
      </c>
      <c r="BO37" s="253">
        <f t="shared" ref="BO37" si="196">ROUNDUP(BL37,-2)</f>
        <v>1200</v>
      </c>
      <c r="BP37" s="255">
        <f t="shared" ref="BP37" si="197">BN37*15%</f>
        <v>660</v>
      </c>
    </row>
    <row r="38" spans="1:69" s="256" customFormat="1" ht="48">
      <c r="A38" s="230" t="str">
        <f t="shared" si="56"/>
        <v xml:space="preserve"> - D12 วงกบบานประตูไม้เนื้อแข็ง ติดตั้งฉนวนกันเสียง กรุไม้อัดยางกันชื้น บานเปิดคู่ ขนาด 1.50x2.50 ม.</v>
      </c>
      <c r="B38" s="231" t="s">
        <v>229</v>
      </c>
      <c r="C38" s="232" t="s">
        <v>673</v>
      </c>
      <c r="D38" s="233"/>
      <c r="E38" s="233"/>
      <c r="F38" s="234">
        <v>2</v>
      </c>
      <c r="G38" s="235" t="s">
        <v>516</v>
      </c>
      <c r="H38" s="235" t="s">
        <v>528</v>
      </c>
      <c r="I38" s="236">
        <f t="shared" ref="I38" si="198">G38*H38</f>
        <v>3.75</v>
      </c>
      <c r="J38" s="237">
        <f t="shared" ref="J38" si="199">BN38</f>
        <v>8800</v>
      </c>
      <c r="K38" s="237">
        <f t="shared" ref="K38" si="200">BO38</f>
        <v>2000</v>
      </c>
      <c r="L38" s="238"/>
      <c r="M38" s="239">
        <v>2</v>
      </c>
      <c r="N38" s="240">
        <v>6</v>
      </c>
      <c r="O38" s="241">
        <f t="shared" ref="O38" si="201">IF(M38=0,0,G38+H38*2)</f>
        <v>6.5</v>
      </c>
      <c r="P38" s="241">
        <f t="shared" ref="P38" si="202">IF(N38=4,134,335)</f>
        <v>335</v>
      </c>
      <c r="Q38" s="242">
        <v>40</v>
      </c>
      <c r="R38" s="242">
        <v>100</v>
      </c>
      <c r="S38" s="243">
        <f t="shared" ref="S38" si="203">ROUNDUP(O38*P38,0)</f>
        <v>2178</v>
      </c>
      <c r="T38" s="244">
        <f t="shared" ref="T38" si="204">ROUNDUP(IF(M38=0,0,O38*Q38+I38*R38),0)</f>
        <v>635</v>
      </c>
      <c r="U38" s="245">
        <v>2</v>
      </c>
      <c r="V38" s="257">
        <v>0</v>
      </c>
      <c r="W38" s="259">
        <v>0</v>
      </c>
      <c r="X38" s="259">
        <v>0</v>
      </c>
      <c r="Y38" s="257">
        <f t="shared" si="119"/>
        <v>3.43</v>
      </c>
      <c r="Z38" s="259">
        <v>1250</v>
      </c>
      <c r="AA38" s="242">
        <v>320</v>
      </c>
      <c r="AB38" s="242">
        <f>105</f>
        <v>105</v>
      </c>
      <c r="AC38" s="242">
        <f t="shared" ref="AC38" si="205">ROUNDUP(V38*W38+Y38*Z38,0)</f>
        <v>4288</v>
      </c>
      <c r="AD38" s="236">
        <f t="shared" ref="AD38" si="206">ROUNDUP((X38*U38)+(AA38*U38)+((G38-M38*2*0.025)*(H38-M38*0.025))*AB38,0)</f>
        <v>1001</v>
      </c>
      <c r="AE38" s="239" t="s">
        <v>469</v>
      </c>
      <c r="AF38" s="247">
        <v>0</v>
      </c>
      <c r="AG38" s="247">
        <v>0</v>
      </c>
      <c r="AH38" s="247">
        <v>0</v>
      </c>
      <c r="AI38" s="241">
        <f t="shared" ref="AI38" si="207">AF38*AG38*U38</f>
        <v>0</v>
      </c>
      <c r="AJ38" s="241">
        <f>AG38*AH38*U38</f>
        <v>0</v>
      </c>
      <c r="AK38" s="241">
        <f>AH38*U38</f>
        <v>0</v>
      </c>
      <c r="AL38" s="242">
        <v>48</v>
      </c>
      <c r="AM38" s="242">
        <v>27</v>
      </c>
      <c r="AN38" s="242">
        <f>ROUNDUP(AJ38*AL38,0)</f>
        <v>0</v>
      </c>
      <c r="AO38" s="236">
        <f>AM38*AK38</f>
        <v>0</v>
      </c>
      <c r="AP38" s="248">
        <f t="shared" ref="AP38" si="208">ROUNDUP((AC38+AN38)/U38,0)</f>
        <v>2144</v>
      </c>
      <c r="AQ38" s="248">
        <f t="shared" ref="AQ38" si="209">ROUNDUP((AD38+AO38)/U38,0)</f>
        <v>501</v>
      </c>
      <c r="AR38" s="239" t="s">
        <v>470</v>
      </c>
      <c r="AS38" s="247">
        <v>0</v>
      </c>
      <c r="AT38" s="247">
        <v>0</v>
      </c>
      <c r="AU38" s="241">
        <f t="shared" ref="AU38" si="210">AS38*AT38*U38</f>
        <v>0</v>
      </c>
      <c r="AV38" s="242">
        <f t="shared" si="183"/>
        <v>204.30107526881721</v>
      </c>
      <c r="AW38" s="242">
        <f t="shared" si="184"/>
        <v>118.27956989247312</v>
      </c>
      <c r="AX38" s="249">
        <f t="shared" ref="AX38" si="211">ROUNDUP(AU38*AV38,0)</f>
        <v>0</v>
      </c>
      <c r="AY38" s="250">
        <f t="shared" ref="AY38" si="212">ROUNDUP(AW38*AU38,0)</f>
        <v>0</v>
      </c>
      <c r="AZ38" s="245">
        <v>0</v>
      </c>
      <c r="BA38" s="251">
        <f t="shared" ref="BA38" si="213">IF(AZ38=0,0,((G38-M38*2*0.025)*(H38-M38*0.025))*2+0.04*((G38-M38*2*0.025)*2+(H38-M38*0.025)*2))</f>
        <v>0</v>
      </c>
      <c r="BB38" s="242">
        <v>500</v>
      </c>
      <c r="BC38" s="242">
        <v>250</v>
      </c>
      <c r="BD38" s="242">
        <f t="shared" ref="BD38" si="214">ROUNDUP(BA38*BB38,0)</f>
        <v>0</v>
      </c>
      <c r="BE38" s="236">
        <f t="shared" ref="BE38" si="215">ROUNDUP(BA38*BC38,0)</f>
        <v>0</v>
      </c>
      <c r="BF38" s="252">
        <f>IF(AZ38=0,ROUNDUP((M38*2*0.025+N38*0.025)*O38+((G38-M38*2*0.025)*(H38-M38*0.025)*2),1),ROUNDUP((M38*2*0.025+N38*0.025)*O38,1))</f>
        <v>8.5</v>
      </c>
      <c r="BG38" s="242">
        <v>30</v>
      </c>
      <c r="BH38" s="242">
        <v>38</v>
      </c>
      <c r="BI38" s="242">
        <f t="shared" ref="BI38" si="216">ROUNDUP(BF38*BG38,0)</f>
        <v>255</v>
      </c>
      <c r="BJ38" s="236">
        <f t="shared" ref="BJ38" si="217">ROUNDUP(BF38*BH38,0)</f>
        <v>323</v>
      </c>
      <c r="BK38" s="253">
        <f t="shared" ref="BK38" si="218">SUM(S38+AC38+AN38+AX38+BD38+BI38)</f>
        <v>6721</v>
      </c>
      <c r="BL38" s="253">
        <f t="shared" ref="BL38" si="219">SUM(T38+AD38+AO38+AY38+BE38+BJ38)</f>
        <v>1959</v>
      </c>
      <c r="BM38" s="254">
        <f t="shared" ref="BM38" si="220">BK38*30%</f>
        <v>2016.3</v>
      </c>
      <c r="BN38" s="253">
        <f t="shared" ref="BN38" si="221">ROUNDUP(BK38+BM38,-2)</f>
        <v>8800</v>
      </c>
      <c r="BO38" s="253">
        <f t="shared" ref="BO38" si="222">ROUNDUP(BL38,-2)</f>
        <v>2000</v>
      </c>
      <c r="BP38" s="255">
        <f t="shared" ref="BP38" si="223">BN38*15%</f>
        <v>1320</v>
      </c>
    </row>
    <row r="39" spans="1:69" s="269" customFormat="1" ht="24">
      <c r="A39" s="288" t="s">
        <v>1173</v>
      </c>
      <c r="B39" s="292"/>
      <c r="C39" s="288" t="s">
        <v>1173</v>
      </c>
      <c r="D39" s="290"/>
      <c r="E39" s="290"/>
      <c r="F39" s="291">
        <f>ROUNDUP((I38*F38)/0.72,0)</f>
        <v>11</v>
      </c>
      <c r="G39" s="291"/>
      <c r="H39" s="290"/>
      <c r="I39" s="290"/>
      <c r="J39" s="291">
        <v>352.07</v>
      </c>
      <c r="K39" s="290">
        <v>0</v>
      </c>
      <c r="L39" s="291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P39" s="287"/>
      <c r="AQ39" s="287"/>
    </row>
    <row r="40" spans="1:69" ht="48">
      <c r="A40" s="230" t="str">
        <f>B40&amp;" "&amp;C40&amp;" ขนาด "&amp;G40&amp;"x"&amp;H40&amp;" ม."</f>
        <v xml:space="preserve"> - D13 วงกบบานประตูอลูมิเนียม บานเปิดคู่ พร้อมช่องแสงติดตาย ลูกฟักกระจกลามิเนตใสตัดแสง หนา 3+3 มม. ขนาด 3.45x2.50 ม.</v>
      </c>
      <c r="B40" s="304" t="s">
        <v>230</v>
      </c>
      <c r="C40" s="284" t="s">
        <v>671</v>
      </c>
      <c r="D40" s="274"/>
      <c r="E40" s="274"/>
      <c r="F40" s="305">
        <v>1</v>
      </c>
      <c r="G40" s="306" t="s">
        <v>674</v>
      </c>
      <c r="H40" s="307" t="s">
        <v>528</v>
      </c>
      <c r="I40" s="284">
        <f t="shared" ref="I40:I41" si="224">G40*H40</f>
        <v>8.625</v>
      </c>
      <c r="J40" s="285">
        <v>45849</v>
      </c>
      <c r="K40" s="285">
        <v>0</v>
      </c>
      <c r="L40" s="305">
        <f>J40/I40</f>
        <v>5315.826086956522</v>
      </c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</row>
    <row r="41" spans="1:69" ht="24">
      <c r="A41" s="305" t="str">
        <f t="shared" ref="A41" si="225">B41&amp;" "&amp;C41&amp;" ขนาด "&amp;G41&amp;"x"&amp;H41&amp;" ม."</f>
        <v xml:space="preserve"> - D14 วงกบบานประตูเหล็กม้วน ขนาด 3.70x2.10 ม.</v>
      </c>
      <c r="B41" s="394" t="s">
        <v>232</v>
      </c>
      <c r="C41" s="232" t="s">
        <v>675</v>
      </c>
      <c r="D41" s="395"/>
      <c r="E41" s="395"/>
      <c r="F41" s="305">
        <v>1</v>
      </c>
      <c r="G41" s="306" t="s">
        <v>507</v>
      </c>
      <c r="H41" s="307" t="s">
        <v>676</v>
      </c>
      <c r="I41" s="232">
        <f t="shared" si="224"/>
        <v>7.7700000000000005</v>
      </c>
      <c r="J41" s="396">
        <v>17357.54</v>
      </c>
      <c r="K41" s="237">
        <v>0</v>
      </c>
      <c r="L41" s="237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</row>
    <row r="42" spans="1:69" ht="48">
      <c r="A42" s="305" t="str">
        <f t="shared" ref="A42" si="226">B42&amp;" "&amp;C42&amp;" ขนาด "&amp;G42&amp;"x"&amp;H42&amp;" ม."</f>
        <v xml:space="preserve"> - D14.1 วงกบบานประตูเหล็กม้วน ขนาด 3.80x2.10 ม.</v>
      </c>
      <c r="B42" s="394" t="s">
        <v>695</v>
      </c>
      <c r="C42" s="232" t="s">
        <v>675</v>
      </c>
      <c r="D42" s="395"/>
      <c r="E42" s="395"/>
      <c r="F42" s="305">
        <v>1</v>
      </c>
      <c r="G42" s="306" t="s">
        <v>677</v>
      </c>
      <c r="H42" s="307" t="s">
        <v>676</v>
      </c>
      <c r="I42" s="232">
        <f t="shared" ref="I42" si="227">G42*H42</f>
        <v>7.9799999999999995</v>
      </c>
      <c r="J42" s="396">
        <v>17744.09</v>
      </c>
      <c r="K42" s="237">
        <v>0</v>
      </c>
      <c r="L42" s="237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</row>
    <row r="43" spans="1:69" ht="48">
      <c r="A43" s="305" t="str">
        <f t="shared" ref="A43" si="228">B43&amp;" "&amp;C43&amp;" ขนาด "&amp;G43&amp;"x"&amp;H43&amp;" ม."</f>
        <v xml:space="preserve"> - D14.2 วงกบบานประตูเหล็กม้วน ขนาด 2.70x2.10 ม.</v>
      </c>
      <c r="B43" s="394" t="s">
        <v>696</v>
      </c>
      <c r="C43" s="232" t="s">
        <v>675</v>
      </c>
      <c r="D43" s="395"/>
      <c r="E43" s="395"/>
      <c r="F43" s="305">
        <v>1</v>
      </c>
      <c r="G43" s="306" t="s">
        <v>678</v>
      </c>
      <c r="H43" s="307" t="s">
        <v>676</v>
      </c>
      <c r="I43" s="232">
        <f t="shared" ref="I43:I44" si="229">G43*H43</f>
        <v>5.6700000000000008</v>
      </c>
      <c r="J43" s="396">
        <v>13491.99</v>
      </c>
      <c r="K43" s="237">
        <v>0</v>
      </c>
      <c r="L43" s="237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</row>
    <row r="44" spans="1:69" s="283" customFormat="1" ht="48">
      <c r="A44" s="276" t="str">
        <f t="shared" ref="A44:A57" si="230">B44&amp;" "&amp;C44&amp;" ขนาด "&amp;G44&amp;"x"&amp;H44&amp;" ม."</f>
        <v xml:space="preserve"> - D15 วงกบบานประตูไม้เนื้อแข็ง กรุไม้อัดยางกันชื้น บานเปิดเดี่ยว ขนาด 0.90x1.85 ม.</v>
      </c>
      <c r="B44" s="394" t="s">
        <v>234</v>
      </c>
      <c r="C44" s="278" t="s">
        <v>514</v>
      </c>
      <c r="D44" s="234"/>
      <c r="E44" s="234"/>
      <c r="F44" s="234">
        <v>2</v>
      </c>
      <c r="G44" s="279" t="s">
        <v>486</v>
      </c>
      <c r="H44" s="280" t="s">
        <v>679</v>
      </c>
      <c r="I44" s="281">
        <f t="shared" si="229"/>
        <v>1.665</v>
      </c>
      <c r="J44" s="237">
        <f t="shared" ref="J44" si="231">BN44</f>
        <v>4900</v>
      </c>
      <c r="K44" s="237">
        <f t="shared" ref="K44" si="232">BO44</f>
        <v>1100</v>
      </c>
      <c r="L44" s="282"/>
      <c r="M44" s="239">
        <v>2</v>
      </c>
      <c r="N44" s="240">
        <v>5</v>
      </c>
      <c r="O44" s="264">
        <f>IF(M44=0,0,G44*2+H44*2)</f>
        <v>5.5</v>
      </c>
      <c r="P44" s="241">
        <f t="shared" ref="P44" si="233">IF(N44=4,134,335)</f>
        <v>335</v>
      </c>
      <c r="Q44" s="242">
        <v>40</v>
      </c>
      <c r="R44" s="242">
        <v>100</v>
      </c>
      <c r="S44" s="243">
        <f t="shared" ref="S44" si="234">ROUNDUP(O44*P44,0)</f>
        <v>1843</v>
      </c>
      <c r="T44" s="244">
        <f t="shared" ref="T44" si="235">ROUNDUP(IF(M44=0,0,O44*Q44+I44*R44),0)</f>
        <v>387</v>
      </c>
      <c r="U44" s="245">
        <v>1</v>
      </c>
      <c r="V44" s="257">
        <v>0</v>
      </c>
      <c r="W44" s="259">
        <v>0</v>
      </c>
      <c r="X44" s="259">
        <v>0</v>
      </c>
      <c r="Y44" s="257">
        <f>(G44-M44*2*0.025)*(H44-M44*2*0.025)-(AI44)</f>
        <v>1.4000000000000001</v>
      </c>
      <c r="Z44" s="259">
        <v>1250</v>
      </c>
      <c r="AA44" s="242">
        <v>320</v>
      </c>
      <c r="AB44" s="242">
        <f>105</f>
        <v>105</v>
      </c>
      <c r="AC44" s="242">
        <f>ROUNDUP(V44*W44+Y44*Z44,0)</f>
        <v>1750</v>
      </c>
      <c r="AD44" s="236">
        <f t="shared" ref="AD44" si="236">ROUNDUP((X44*U44)+(AA44*U44)+((G44-M44*2*0.025)*(H44-M44*0.025))*AB44,0)</f>
        <v>472</v>
      </c>
      <c r="AE44" s="239" t="s">
        <v>469</v>
      </c>
      <c r="AF44" s="247">
        <v>0</v>
      </c>
      <c r="AG44" s="247">
        <v>0</v>
      </c>
      <c r="AH44" s="247">
        <v>0</v>
      </c>
      <c r="AI44" s="241">
        <f t="shared" ref="AI44" si="237">AF44*AG44*U44</f>
        <v>0</v>
      </c>
      <c r="AJ44" s="241">
        <f t="shared" ref="AJ44" si="238">AG44*AH44*U44</f>
        <v>0</v>
      </c>
      <c r="AK44" s="241">
        <f t="shared" ref="AK44" si="239">AH44*U44</f>
        <v>0</v>
      </c>
      <c r="AL44" s="242">
        <v>48</v>
      </c>
      <c r="AM44" s="242">
        <v>27</v>
      </c>
      <c r="AN44" s="242">
        <f t="shared" ref="AN44" si="240">ROUNDUP(AJ44*AL44,0)</f>
        <v>0</v>
      </c>
      <c r="AO44" s="236">
        <f t="shared" ref="AO44" si="241">AM44*AK44</f>
        <v>0</v>
      </c>
      <c r="AP44" s="248">
        <f t="shared" ref="AP44" si="242">ROUNDUP((AC44+AN44)/U44,0)</f>
        <v>1750</v>
      </c>
      <c r="AQ44" s="248">
        <f t="shared" ref="AQ44" si="243">ROUNDUP((AD44+AO44)/U44,0)</f>
        <v>472</v>
      </c>
      <c r="AR44" s="239" t="s">
        <v>470</v>
      </c>
      <c r="AS44" s="247">
        <v>0</v>
      </c>
      <c r="AT44" s="247">
        <v>0</v>
      </c>
      <c r="AU44" s="241">
        <f t="shared" ref="AU44" si="244">AS44*AT44*U44</f>
        <v>0</v>
      </c>
      <c r="AV44" s="242">
        <f t="shared" ref="AV44" si="245">19/0.093</f>
        <v>204.30107526881721</v>
      </c>
      <c r="AW44" s="242">
        <f t="shared" ref="AW44" si="246">11/0.093</f>
        <v>118.27956989247312</v>
      </c>
      <c r="AX44" s="249">
        <f t="shared" ref="AX44" si="247">ROUNDUP(AU44*AV44,0)</f>
        <v>0</v>
      </c>
      <c r="AY44" s="250">
        <f t="shared" ref="AY44" si="248">ROUNDUP(AW44*AU44,0)</f>
        <v>0</v>
      </c>
      <c r="AZ44" s="245">
        <v>0</v>
      </c>
      <c r="BA44" s="251">
        <f t="shared" ref="BA44" si="249">IF(AZ44=0,0,((G44-M44*2*0.025)*(H44-M44*0.025))*2+0.04*((G44-M44*2*0.025)*2+(H44-M44*0.025)*2))</f>
        <v>0</v>
      </c>
      <c r="BB44" s="242">
        <v>500</v>
      </c>
      <c r="BC44" s="242">
        <v>250</v>
      </c>
      <c r="BD44" s="242">
        <f t="shared" ref="BD44" si="250">ROUNDUP(BA44*BB44,0)</f>
        <v>0</v>
      </c>
      <c r="BE44" s="236">
        <f t="shared" ref="BE44" si="251">ROUNDUP(BA44*BC44,0)</f>
        <v>0</v>
      </c>
      <c r="BF44" s="252">
        <f>IF(AZ44=0,ROUNDUP((M44*2*0.025+N44*0.025)*O44+((G44-M44*2*0.025)*(H44-M44*0.025)*2),1),ROUNDUP((M44*2*0.025+N44*0.025)*O44,1))</f>
        <v>4.1999999999999993</v>
      </c>
      <c r="BG44" s="242">
        <v>30</v>
      </c>
      <c r="BH44" s="242">
        <v>38</v>
      </c>
      <c r="BI44" s="242">
        <f t="shared" ref="BI44" si="252">ROUNDUP(BF44*BG44,0)</f>
        <v>126</v>
      </c>
      <c r="BJ44" s="236">
        <f t="shared" ref="BJ44" si="253">ROUNDUP(BF44*BH44,0)</f>
        <v>160</v>
      </c>
      <c r="BK44" s="253">
        <f t="shared" ref="BK44" si="254">SUM(S44+AC44+AN44+AX44+BD44+BI44)</f>
        <v>3719</v>
      </c>
      <c r="BL44" s="253">
        <f t="shared" ref="BL44" si="255">SUM(T44+AD44+AO44+AY44+BE44+BJ44)</f>
        <v>1019</v>
      </c>
      <c r="BM44" s="254">
        <f t="shared" ref="BM44" si="256">BK44*30%</f>
        <v>1115.7</v>
      </c>
      <c r="BN44" s="253">
        <f t="shared" ref="BN44" si="257">ROUNDUP(BK44+BM44,-2)</f>
        <v>4900</v>
      </c>
      <c r="BO44" s="253">
        <f t="shared" ref="BO44" si="258">ROUNDUP(BL44,-2)</f>
        <v>1100</v>
      </c>
      <c r="BP44" s="255">
        <f t="shared" ref="BP44" si="259">BN44*15%</f>
        <v>735</v>
      </c>
      <c r="BQ44" s="256"/>
    </row>
    <row r="45" spans="1:69" ht="48">
      <c r="A45" s="230" t="str">
        <f t="shared" si="230"/>
        <v xml:space="preserve"> - W1 วงกบบานหน้าต่างอลูมิเนียม ช่องแสงติดตาย ลูกฟักกระจกลามิเนตใสตัดแสง หนา 4+4 มม. ขนาด 10.8x5.05 ม.</v>
      </c>
      <c r="B45" s="304" t="s">
        <v>515</v>
      </c>
      <c r="C45" s="284" t="s">
        <v>683</v>
      </c>
      <c r="D45" s="274"/>
      <c r="E45" s="274"/>
      <c r="F45" s="305">
        <v>2</v>
      </c>
      <c r="G45" s="306" t="s">
        <v>530</v>
      </c>
      <c r="H45" s="307" t="s">
        <v>531</v>
      </c>
      <c r="I45" s="284">
        <f t="shared" si="57"/>
        <v>54.54</v>
      </c>
      <c r="J45" s="285">
        <v>225239</v>
      </c>
      <c r="K45" s="285">
        <v>0</v>
      </c>
      <c r="L45" s="305">
        <f t="shared" ref="L45:L46" si="260">J45/I45</f>
        <v>4129.7946461312795</v>
      </c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</row>
    <row r="46" spans="1:69" ht="48">
      <c r="A46" s="230" t="str">
        <f t="shared" si="230"/>
        <v xml:space="preserve"> - W2 วงกบบานหน้าต่างอลูมิเนียม บานกระทุ้ง พร้อมช่องแสงติดตาย ลูกฟักกระจกลามิเนตใสตัดแสง หนา 3+3 มม. ขนาด 1.15x2.00 ม.</v>
      </c>
      <c r="B46" s="304" t="s">
        <v>517</v>
      </c>
      <c r="C46" s="284" t="s">
        <v>682</v>
      </c>
      <c r="D46" s="274"/>
      <c r="E46" s="274"/>
      <c r="F46" s="305">
        <v>2</v>
      </c>
      <c r="G46" s="306" t="s">
        <v>680</v>
      </c>
      <c r="H46" s="307" t="s">
        <v>681</v>
      </c>
      <c r="I46" s="284">
        <f t="shared" si="57"/>
        <v>2.2999999999999998</v>
      </c>
      <c r="J46" s="285">
        <v>12824</v>
      </c>
      <c r="K46" s="285">
        <v>0</v>
      </c>
      <c r="L46" s="305">
        <f t="shared" si="260"/>
        <v>5575.652173913044</v>
      </c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</row>
    <row r="47" spans="1:69" ht="48">
      <c r="A47" s="230" t="str">
        <f t="shared" si="230"/>
        <v xml:space="preserve"> - W3 วงกบบานหน้าต่างอลูมิเนียม บานกระทุ้ง ลูกฟักกระจกฝ้า หนา 3+3 มม. ขนาด 1.35x0.50 ม.</v>
      </c>
      <c r="B47" s="304" t="s">
        <v>518</v>
      </c>
      <c r="C47" s="284" t="s">
        <v>685</v>
      </c>
      <c r="D47" s="274"/>
      <c r="E47" s="274"/>
      <c r="F47" s="305">
        <v>4</v>
      </c>
      <c r="G47" s="306" t="s">
        <v>532</v>
      </c>
      <c r="H47" s="307" t="s">
        <v>520</v>
      </c>
      <c r="I47" s="284">
        <f t="shared" ref="I47" si="261">G47*H47</f>
        <v>0.67500000000000004</v>
      </c>
      <c r="J47" s="285">
        <v>5464</v>
      </c>
      <c r="K47" s="285">
        <v>0</v>
      </c>
      <c r="L47" s="305">
        <f t="shared" ref="L47" si="262">J47/I47</f>
        <v>8094.8148148148139</v>
      </c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</row>
    <row r="48" spans="1:69" ht="48">
      <c r="A48" s="230" t="str">
        <f t="shared" si="230"/>
        <v xml:space="preserve"> - W4 วงกบบานหน้าต่างอลูมิเนียม บานกระทุ้ง ลูกฟักกระจกฝ้า หนา 3+3 มม. ขนาด 2.00x0.50 ม.</v>
      </c>
      <c r="B48" s="304" t="s">
        <v>519</v>
      </c>
      <c r="C48" s="284" t="s">
        <v>685</v>
      </c>
      <c r="D48" s="274"/>
      <c r="E48" s="274"/>
      <c r="F48" s="305">
        <v>2</v>
      </c>
      <c r="G48" s="306" t="s">
        <v>681</v>
      </c>
      <c r="H48" s="307" t="s">
        <v>520</v>
      </c>
      <c r="I48" s="284">
        <f t="shared" ref="I48:I49" si="263">G48*H48</f>
        <v>1</v>
      </c>
      <c r="J48" s="285">
        <v>7301</v>
      </c>
      <c r="K48" s="285">
        <v>0</v>
      </c>
      <c r="L48" s="305">
        <f t="shared" ref="L48:L49" si="264">J48/I48</f>
        <v>7301</v>
      </c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</row>
    <row r="49" spans="1:30" ht="48">
      <c r="A49" s="230" t="str">
        <f t="shared" si="230"/>
        <v xml:space="preserve"> - W5 วงกบบานหน้าต่างอลูมิเนียม บานเลื่อนสลับ พร้อมช่องแสงติดตาย ลูกฟักกระจกลามิเนตใสตัดแสง หนา 3+3 มม. ขนาด 2.55x1.50 ม.</v>
      </c>
      <c r="B49" s="304" t="s">
        <v>521</v>
      </c>
      <c r="C49" s="284" t="s">
        <v>686</v>
      </c>
      <c r="D49" s="274"/>
      <c r="E49" s="274"/>
      <c r="F49" s="305">
        <v>13</v>
      </c>
      <c r="G49" s="306" t="s">
        <v>687</v>
      </c>
      <c r="H49" s="307" t="s">
        <v>516</v>
      </c>
      <c r="I49" s="284">
        <f t="shared" si="263"/>
        <v>3.8249999999999997</v>
      </c>
      <c r="J49" s="285">
        <v>18999</v>
      </c>
      <c r="K49" s="285">
        <v>0</v>
      </c>
      <c r="L49" s="305">
        <f t="shared" si="264"/>
        <v>4967.0588235294117</v>
      </c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</row>
    <row r="50" spans="1:30" ht="48">
      <c r="A50" s="230" t="str">
        <f t="shared" si="230"/>
        <v xml:space="preserve"> - W6 วงกบบานหน้าต่างอลูมิเนียม ช่องแสงติดตาย ลูกฟักกระจกลามิเนตใสตัดแสง หนา 3+3 มม. ขนาด 3.50x2.20 ม.</v>
      </c>
      <c r="B50" s="304" t="s">
        <v>522</v>
      </c>
      <c r="C50" s="284" t="s">
        <v>688</v>
      </c>
      <c r="D50" s="274"/>
      <c r="E50" s="274"/>
      <c r="F50" s="305">
        <v>3</v>
      </c>
      <c r="G50" s="306" t="s">
        <v>666</v>
      </c>
      <c r="H50" s="307" t="s">
        <v>689</v>
      </c>
      <c r="I50" s="284">
        <f t="shared" ref="I50" si="265">G50*H50</f>
        <v>7.7000000000000011</v>
      </c>
      <c r="J50" s="285">
        <v>31195</v>
      </c>
      <c r="K50" s="285">
        <v>0</v>
      </c>
      <c r="L50" s="305">
        <f t="shared" ref="L50" si="266">J50/I50</f>
        <v>4051.298701298701</v>
      </c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</row>
    <row r="51" spans="1:30" ht="48">
      <c r="A51" s="230" t="str">
        <f t="shared" si="230"/>
        <v xml:space="preserve"> - W7 วงกบบานหน้าต่างอลูมิเนียม ช่องแสงติดตาย ลูกฟักกระจกลามิเนตใสตัดแสง หนา 3+3 มม. ขนาด 1.50x2.20 ม.</v>
      </c>
      <c r="B51" s="304" t="s">
        <v>523</v>
      </c>
      <c r="C51" s="284" t="s">
        <v>688</v>
      </c>
      <c r="D51" s="274"/>
      <c r="E51" s="274"/>
      <c r="F51" s="305">
        <v>2</v>
      </c>
      <c r="G51" s="306" t="s">
        <v>516</v>
      </c>
      <c r="H51" s="307" t="s">
        <v>689</v>
      </c>
      <c r="I51" s="284">
        <f t="shared" ref="I51" si="267">G51*H51</f>
        <v>3.3000000000000003</v>
      </c>
      <c r="J51" s="285">
        <v>13700</v>
      </c>
      <c r="K51" s="285">
        <v>0</v>
      </c>
      <c r="L51" s="305">
        <f t="shared" ref="L51" si="268">J51/I51</f>
        <v>4151.515151515151</v>
      </c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</row>
    <row r="52" spans="1:30" ht="48">
      <c r="A52" s="230" t="str">
        <f t="shared" si="230"/>
        <v xml:space="preserve"> - W8 วงกบบานหน้าต่างอลูมิเนียม ช่องแสงติดตาย ลูกฟักกระจกลามิเนตใสตัดแสง หนา 3+3 มม. ขนาด 0.50x11.10 ม.</v>
      </c>
      <c r="B52" s="304" t="s">
        <v>524</v>
      </c>
      <c r="C52" s="284" t="s">
        <v>688</v>
      </c>
      <c r="D52" s="274"/>
      <c r="E52" s="274"/>
      <c r="F52" s="305">
        <v>2</v>
      </c>
      <c r="G52" s="306" t="s">
        <v>520</v>
      </c>
      <c r="H52" s="307" t="s">
        <v>690</v>
      </c>
      <c r="I52" s="284">
        <f t="shared" ref="I52" si="269">G52*H52</f>
        <v>5.55</v>
      </c>
      <c r="J52" s="285">
        <v>19914</v>
      </c>
      <c r="K52" s="285">
        <v>0</v>
      </c>
      <c r="L52" s="305">
        <f t="shared" ref="L52" si="270">J52/I52</f>
        <v>3588.1081081081084</v>
      </c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</row>
    <row r="53" spans="1:30" ht="48">
      <c r="A53" s="230" t="str">
        <f t="shared" si="230"/>
        <v xml:space="preserve"> - W8' วงกบบานหน้าต่างอลูมิเนียม ช่องแสงติดตาย ลูกฟักกระจกลามิเนตใสตัดแสง หนา 3+3 มม. ขนาด 0.50x9.45 ม.</v>
      </c>
      <c r="B53" s="304" t="s">
        <v>691</v>
      </c>
      <c r="C53" s="284" t="s">
        <v>688</v>
      </c>
      <c r="D53" s="274"/>
      <c r="E53" s="274"/>
      <c r="F53" s="305">
        <v>2</v>
      </c>
      <c r="G53" s="306" t="s">
        <v>520</v>
      </c>
      <c r="H53" s="307" t="s">
        <v>692</v>
      </c>
      <c r="I53" s="284">
        <f t="shared" ref="I53" si="271">G53*H53</f>
        <v>4.7249999999999996</v>
      </c>
      <c r="J53" s="285">
        <v>17045</v>
      </c>
      <c r="K53" s="285">
        <v>0</v>
      </c>
      <c r="L53" s="305">
        <f t="shared" ref="L53" si="272">J53/I53</f>
        <v>3607.4074074074078</v>
      </c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</row>
    <row r="54" spans="1:30" ht="48">
      <c r="A54" s="230" t="str">
        <f t="shared" si="230"/>
        <v xml:space="preserve"> - W9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3.50x1.50 ม.</v>
      </c>
      <c r="B54" s="304" t="s">
        <v>526</v>
      </c>
      <c r="C54" s="284" t="s">
        <v>694</v>
      </c>
      <c r="D54" s="274"/>
      <c r="E54" s="274"/>
      <c r="F54" s="305">
        <v>3</v>
      </c>
      <c r="G54" s="306" t="s">
        <v>666</v>
      </c>
      <c r="H54" s="307" t="s">
        <v>516</v>
      </c>
      <c r="I54" s="284">
        <f t="shared" ref="I54" si="273">G54*H54</f>
        <v>5.25</v>
      </c>
      <c r="J54" s="285">
        <v>24670</v>
      </c>
      <c r="K54" s="285">
        <v>0</v>
      </c>
      <c r="L54" s="305">
        <f>J54/I54</f>
        <v>4699.0476190476193</v>
      </c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</row>
    <row r="55" spans="1:30" ht="48">
      <c r="A55" s="230" t="str">
        <f t="shared" si="230"/>
        <v xml:space="preserve"> - W9'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3.45x1.50 ม.</v>
      </c>
      <c r="B55" s="304" t="s">
        <v>693</v>
      </c>
      <c r="C55" s="284" t="s">
        <v>694</v>
      </c>
      <c r="D55" s="274"/>
      <c r="E55" s="274"/>
      <c r="F55" s="305">
        <v>2</v>
      </c>
      <c r="G55" s="306" t="s">
        <v>674</v>
      </c>
      <c r="H55" s="307" t="s">
        <v>516</v>
      </c>
      <c r="I55" s="284">
        <f t="shared" ref="I55" si="274">G55*H55</f>
        <v>5.1750000000000007</v>
      </c>
      <c r="J55" s="285">
        <v>24421</v>
      </c>
      <c r="K55" s="285">
        <v>0</v>
      </c>
      <c r="L55" s="305">
        <f>J55/I55</f>
        <v>4719.0338164251198</v>
      </c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</row>
    <row r="56" spans="1:30" ht="48">
      <c r="A56" s="230" t="str">
        <f t="shared" si="230"/>
        <v xml:space="preserve"> - W10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4.375x1.50 ม.</v>
      </c>
      <c r="B56" s="304" t="s">
        <v>527</v>
      </c>
      <c r="C56" s="284" t="s">
        <v>694</v>
      </c>
      <c r="D56" s="274"/>
      <c r="E56" s="274"/>
      <c r="F56" s="305">
        <v>3</v>
      </c>
      <c r="G56" s="306" t="s">
        <v>665</v>
      </c>
      <c r="H56" s="307" t="s">
        <v>516</v>
      </c>
      <c r="I56" s="284">
        <f t="shared" ref="I56:I57" si="275">G56*H56</f>
        <v>6.5625</v>
      </c>
      <c r="J56" s="285">
        <v>30080</v>
      </c>
      <c r="K56" s="285">
        <v>0</v>
      </c>
      <c r="L56" s="305">
        <f>J56/I56</f>
        <v>4583.6190476190477</v>
      </c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</row>
    <row r="57" spans="1:30" ht="48">
      <c r="A57" s="230" t="str">
        <f t="shared" si="230"/>
        <v xml:space="preserve"> - W11 วงกบบานหน้าต่างอลูมิเนียม บานเลื่อนสลับ พร้อมช่องแสงติดตาย ลูกฟักกระจกลามิเนตใสตัดแสง หนา 3+3 มม. ขนาด 1.50x1.50 ม.</v>
      </c>
      <c r="B57" s="304" t="s">
        <v>697</v>
      </c>
      <c r="C57" s="284" t="s">
        <v>686</v>
      </c>
      <c r="D57" s="274"/>
      <c r="E57" s="274"/>
      <c r="F57" s="305">
        <v>4</v>
      </c>
      <c r="G57" s="306" t="s">
        <v>516</v>
      </c>
      <c r="H57" s="307" t="s">
        <v>516</v>
      </c>
      <c r="I57" s="284">
        <f t="shared" si="275"/>
        <v>2.25</v>
      </c>
      <c r="J57" s="285">
        <v>11105</v>
      </c>
      <c r="K57" s="285">
        <v>0</v>
      </c>
      <c r="L57" s="305">
        <f t="shared" ref="L57" si="276">J57/I57</f>
        <v>4935.5555555555557</v>
      </c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</row>
  </sheetData>
  <sheetProtection algorithmName="SHA-512" hashValue="XRDHJYMC6gKp7xBaRzXdEwq2qd4gQ3HB6DsNljQB9NsIjZQD+1PN92tvR8LntEq57z6oPSxXdQBcZJWyLa3I5Q==" saltValue="5ptacVmUk34QkvkIW2hYXw==" spinCount="100000" sheet="1" objects="1" scenarios="1" selectLockedCells="1" selectUnlockedCells="1"/>
  <mergeCells count="36">
    <mergeCell ref="BN25:BP25"/>
    <mergeCell ref="M26:N26"/>
    <mergeCell ref="AE25:AO25"/>
    <mergeCell ref="AP25:AQ25"/>
    <mergeCell ref="AR25:AY25"/>
    <mergeCell ref="AZ25:BE25"/>
    <mergeCell ref="BF25:BJ25"/>
    <mergeCell ref="BK25:BL25"/>
    <mergeCell ref="BN1:BP1"/>
    <mergeCell ref="M2:N2"/>
    <mergeCell ref="A25:C26"/>
    <mergeCell ref="G25:I25"/>
    <mergeCell ref="J25:J26"/>
    <mergeCell ref="K25:K26"/>
    <mergeCell ref="L25:L26"/>
    <mergeCell ref="M25:T25"/>
    <mergeCell ref="U25:X25"/>
    <mergeCell ref="Y25:AB25"/>
    <mergeCell ref="AE1:AO1"/>
    <mergeCell ref="AP1:AQ1"/>
    <mergeCell ref="AR1:AY1"/>
    <mergeCell ref="AZ1:BE1"/>
    <mergeCell ref="BF1:BJ1"/>
    <mergeCell ref="BK1:BL1"/>
    <mergeCell ref="AC1:AD1"/>
    <mergeCell ref="A1:A2"/>
    <mergeCell ref="B1:B2"/>
    <mergeCell ref="C1:C2"/>
    <mergeCell ref="F1:F2"/>
    <mergeCell ref="G1:I1"/>
    <mergeCell ref="J1:J2"/>
    <mergeCell ref="K1:K2"/>
    <mergeCell ref="L1:L2"/>
    <mergeCell ref="M1:T1"/>
    <mergeCell ref="U1:X1"/>
    <mergeCell ref="Y1:AB1"/>
  </mergeCells>
  <phoneticPr fontId="11" type="noConversion"/>
  <hyperlinks>
    <hyperlink ref="E11" r:id="rId1"/>
    <hyperlink ref="E10" r:id="rId2"/>
  </hyperlinks>
  <pageMargins left="0.7" right="0.7" top="0.75" bottom="0.75" header="0.3" footer="0.3"/>
  <pageSetup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64"/>
  <sheetViews>
    <sheetView zoomScale="60" zoomScaleNormal="60" workbookViewId="0">
      <pane ySplit="2" topLeftCell="A120" activePane="bottomLeft" state="frozen"/>
      <selection activeCell="J1" sqref="J1"/>
      <selection pane="bottomLeft" activeCell="W227" sqref="W227"/>
    </sheetView>
  </sheetViews>
  <sheetFormatPr defaultColWidth="9.28515625" defaultRowHeight="24"/>
  <cols>
    <col min="1" max="1" width="9.28515625" style="340"/>
    <col min="2" max="2" width="9.28515625" style="341"/>
    <col min="3" max="4" width="9.28515625" style="342"/>
    <col min="5" max="5" width="9.7109375" style="342" customWidth="1"/>
    <col min="6" max="6" width="9.28515625" style="342"/>
    <col min="7" max="7" width="9.28515625" style="340"/>
    <col min="8" max="8" width="9.28515625" style="341"/>
    <col min="9" max="10" width="9.28515625" style="342"/>
    <col min="11" max="11" width="9.7109375" style="342" customWidth="1"/>
    <col min="12" max="12" width="9.28515625" style="342"/>
    <col min="13" max="13" width="9.28515625" style="340"/>
    <col min="14" max="14" width="9.28515625" style="341"/>
    <col min="15" max="16" width="9.28515625" style="342"/>
    <col min="17" max="17" width="9.7109375" style="342" customWidth="1"/>
    <col min="18" max="18" width="9.28515625" style="342"/>
    <col min="19" max="19" width="12" style="342" customWidth="1"/>
    <col min="20" max="20" width="12.28515625" style="342" customWidth="1"/>
    <col min="21" max="24" width="9.28515625" style="342"/>
    <col min="25" max="26" width="28.7109375" style="342" customWidth="1"/>
    <col min="27" max="27" width="14.7109375" style="342" customWidth="1"/>
    <col min="28" max="31" width="9.28515625" style="342"/>
    <col min="32" max="33" width="28.7109375" style="342" customWidth="1"/>
    <col min="34" max="34" width="13.7109375" style="342" customWidth="1"/>
    <col min="35" max="38" width="9.28515625" style="342"/>
    <col min="39" max="40" width="28.7109375" style="342" customWidth="1"/>
    <col min="41" max="41" width="16.7109375" style="342" customWidth="1"/>
    <col min="42" max="45" width="9.28515625" style="342"/>
    <col min="46" max="47" width="28.7109375" style="342" customWidth="1"/>
    <col min="48" max="48" width="16.7109375" style="342" customWidth="1"/>
    <col min="49" max="52" width="9.28515625" style="342"/>
    <col min="53" max="54" width="27.7109375" style="342" customWidth="1"/>
    <col min="55" max="55" width="16.7109375" style="342" customWidth="1"/>
    <col min="56" max="59" width="9.28515625" style="342"/>
    <col min="60" max="61" width="27.28515625" style="342" customWidth="1"/>
    <col min="62" max="62" width="16.7109375" style="342" customWidth="1"/>
    <col min="63" max="66" width="9.28515625" style="342"/>
    <col min="67" max="68" width="13.28515625" style="342" customWidth="1"/>
    <col min="69" max="69" width="16.7109375" style="342" customWidth="1"/>
    <col min="70" max="73" width="9.28515625" style="342"/>
    <col min="74" max="75" width="13.28515625" style="342" customWidth="1"/>
    <col min="76" max="76" width="16.7109375" style="342" customWidth="1"/>
    <col min="77" max="80" width="9.28515625" style="342"/>
    <col min="81" max="82" width="14.28515625" style="342" customWidth="1"/>
    <col min="83" max="83" width="16.7109375" style="342" customWidth="1"/>
    <col min="84" max="89" width="9.28515625" style="342"/>
    <col min="90" max="90" width="16.7109375" style="342" customWidth="1"/>
    <col min="91" max="96" width="9.28515625" style="342"/>
    <col min="97" max="97" width="16.7109375" style="342" customWidth="1"/>
    <col min="98" max="103" width="9.28515625" style="342"/>
    <col min="104" max="104" width="16.7109375" style="342" customWidth="1"/>
    <col min="105" max="110" width="9.28515625" style="342"/>
    <col min="111" max="111" width="16.7109375" style="342" customWidth="1"/>
    <col min="112" max="117" width="9.28515625" style="342"/>
    <col min="118" max="118" width="16.7109375" style="342" customWidth="1"/>
    <col min="119" max="16384" width="9.28515625" style="342"/>
  </cols>
  <sheetData>
    <row r="1" spans="1:118" s="421" customFormat="1">
      <c r="A1" s="1519" t="s">
        <v>1</v>
      </c>
      <c r="B1" s="1519" t="s">
        <v>13</v>
      </c>
      <c r="C1" s="1520" t="s">
        <v>423</v>
      </c>
      <c r="D1" s="1520"/>
      <c r="E1" s="1520"/>
      <c r="F1" s="341"/>
      <c r="G1" s="246" t="s">
        <v>503</v>
      </c>
      <c r="H1" s="419">
        <v>1</v>
      </c>
      <c r="I1" s="399" t="s">
        <v>507</v>
      </c>
      <c r="J1" s="400" t="s">
        <v>528</v>
      </c>
      <c r="K1" s="420">
        <f t="shared" ref="K1:K14" si="0">I1*J1</f>
        <v>9.25</v>
      </c>
      <c r="L1" s="341"/>
      <c r="M1" s="246" t="s">
        <v>515</v>
      </c>
      <c r="N1" s="419">
        <v>2</v>
      </c>
      <c r="O1" s="399" t="s">
        <v>530</v>
      </c>
      <c r="P1" s="400" t="s">
        <v>531</v>
      </c>
      <c r="Q1" s="420">
        <f t="shared" ref="Q1:Q8" si="1">O1*P1</f>
        <v>54.54</v>
      </c>
      <c r="S1" s="338" t="s">
        <v>132</v>
      </c>
      <c r="T1" s="338" t="s">
        <v>133</v>
      </c>
      <c r="U1" s="422">
        <v>1</v>
      </c>
      <c r="V1" s="1512" t="s">
        <v>552</v>
      </c>
      <c r="W1" s="1513"/>
      <c r="X1" s="1513"/>
      <c r="Y1" s="1513"/>
      <c r="Z1" s="1513"/>
      <c r="AA1" s="1514"/>
      <c r="AB1" s="422">
        <f>U1</f>
        <v>1</v>
      </c>
      <c r="AC1" s="1512" t="s">
        <v>553</v>
      </c>
      <c r="AD1" s="1513"/>
      <c r="AE1" s="1513"/>
      <c r="AF1" s="1513"/>
      <c r="AG1" s="1513"/>
      <c r="AH1" s="1514"/>
      <c r="AI1" s="422">
        <f>AB1</f>
        <v>1</v>
      </c>
      <c r="AJ1" s="1512" t="s">
        <v>601</v>
      </c>
      <c r="AK1" s="1513"/>
      <c r="AL1" s="1513"/>
      <c r="AM1" s="1513"/>
      <c r="AN1" s="1513"/>
      <c r="AO1" s="1514"/>
      <c r="AP1" s="422">
        <f>AI1</f>
        <v>1</v>
      </c>
      <c r="AQ1" s="1512" t="s">
        <v>602</v>
      </c>
      <c r="AR1" s="1513"/>
      <c r="AS1" s="1513"/>
      <c r="AT1" s="1513"/>
      <c r="AU1" s="1513"/>
      <c r="AV1" s="1514"/>
      <c r="AW1" s="422">
        <f>AI1</f>
        <v>1</v>
      </c>
      <c r="AX1" s="1518" t="s">
        <v>698</v>
      </c>
      <c r="AY1" s="1518"/>
      <c r="AZ1" s="1518"/>
      <c r="BA1" s="1518"/>
      <c r="BB1" s="1518"/>
      <c r="BC1" s="1518"/>
      <c r="BD1" s="422">
        <f>AW1</f>
        <v>1</v>
      </c>
      <c r="BE1" s="1512" t="s">
        <v>546</v>
      </c>
      <c r="BF1" s="1513"/>
      <c r="BG1" s="1513"/>
      <c r="BH1" s="1513"/>
      <c r="BI1" s="1513"/>
      <c r="BJ1" s="1514"/>
      <c r="BK1" s="422">
        <f>BD1</f>
        <v>1</v>
      </c>
      <c r="BL1" s="1512" t="s">
        <v>699</v>
      </c>
      <c r="BM1" s="1513"/>
      <c r="BN1" s="1513"/>
      <c r="BO1" s="1513"/>
      <c r="BP1" s="1513"/>
      <c r="BQ1" s="1514"/>
      <c r="BR1" s="422">
        <f>BK1</f>
        <v>1</v>
      </c>
      <c r="BS1" s="1512" t="s">
        <v>555</v>
      </c>
      <c r="BT1" s="1513"/>
      <c r="BU1" s="1513"/>
      <c r="BV1" s="1513"/>
      <c r="BW1" s="1513"/>
      <c r="BX1" s="1514"/>
      <c r="BY1" s="422">
        <f>BR1</f>
        <v>1</v>
      </c>
      <c r="BZ1" s="1512" t="s">
        <v>556</v>
      </c>
      <c r="CA1" s="1513"/>
      <c r="CB1" s="1513"/>
      <c r="CC1" s="1513"/>
      <c r="CD1" s="1513"/>
      <c r="CE1" s="1514"/>
      <c r="CF1" s="422">
        <f>BY1</f>
        <v>1</v>
      </c>
      <c r="CG1" s="1512" t="s">
        <v>700</v>
      </c>
      <c r="CH1" s="1513"/>
      <c r="CI1" s="1513"/>
      <c r="CJ1" s="1513"/>
      <c r="CK1" s="1513"/>
      <c r="CL1" s="1514"/>
      <c r="CM1" s="422">
        <f>CF1</f>
        <v>1</v>
      </c>
      <c r="CN1" s="1512" t="s">
        <v>559</v>
      </c>
      <c r="CO1" s="1513"/>
      <c r="CP1" s="1513"/>
      <c r="CQ1" s="1513"/>
      <c r="CR1" s="1513"/>
      <c r="CS1" s="1514"/>
      <c r="CT1" s="422">
        <f>CM1</f>
        <v>1</v>
      </c>
      <c r="CU1" s="1512" t="s">
        <v>701</v>
      </c>
      <c r="CV1" s="1513"/>
      <c r="CW1" s="1513"/>
      <c r="CX1" s="1513"/>
      <c r="CY1" s="1513"/>
      <c r="CZ1" s="1514"/>
      <c r="DA1" s="422">
        <f>CT1</f>
        <v>1</v>
      </c>
      <c r="DB1" s="1512" t="s">
        <v>757</v>
      </c>
      <c r="DC1" s="1513"/>
      <c r="DD1" s="1513"/>
      <c r="DE1" s="1513"/>
      <c r="DF1" s="1513"/>
      <c r="DG1" s="1514"/>
      <c r="DH1" s="422">
        <f>DA1</f>
        <v>1</v>
      </c>
      <c r="DI1" s="1512" t="s">
        <v>758</v>
      </c>
      <c r="DJ1" s="1513"/>
      <c r="DK1" s="1513"/>
      <c r="DL1" s="1513"/>
      <c r="DM1" s="1513"/>
      <c r="DN1" s="1514"/>
    </row>
    <row r="2" spans="1:118" s="402" customFormat="1">
      <c r="A2" s="1519"/>
      <c r="B2" s="1519"/>
      <c r="C2" s="338" t="s">
        <v>436</v>
      </c>
      <c r="D2" s="338" t="s">
        <v>437</v>
      </c>
      <c r="E2" s="338" t="s">
        <v>438</v>
      </c>
      <c r="F2" s="403"/>
      <c r="G2" s="246" t="s">
        <v>504</v>
      </c>
      <c r="H2" s="398">
        <v>2</v>
      </c>
      <c r="I2" s="399" t="s">
        <v>665</v>
      </c>
      <c r="J2" s="400" t="s">
        <v>528</v>
      </c>
      <c r="K2" s="401">
        <f t="shared" si="0"/>
        <v>10.9375</v>
      </c>
      <c r="L2" s="342"/>
      <c r="M2" s="397" t="s">
        <v>517</v>
      </c>
      <c r="N2" s="398">
        <v>2</v>
      </c>
      <c r="O2" s="399" t="s">
        <v>680</v>
      </c>
      <c r="P2" s="400" t="s">
        <v>681</v>
      </c>
      <c r="Q2" s="401">
        <f t="shared" si="1"/>
        <v>2.2999999999999998</v>
      </c>
      <c r="S2" s="404" t="s">
        <v>547</v>
      </c>
      <c r="T2" s="404" t="s">
        <v>547</v>
      </c>
      <c r="U2" s="403"/>
      <c r="V2" s="404" t="s">
        <v>459</v>
      </c>
      <c r="W2" s="404" t="s">
        <v>437</v>
      </c>
      <c r="X2" s="404" t="s">
        <v>548</v>
      </c>
      <c r="Y2" s="404" t="s">
        <v>549</v>
      </c>
      <c r="Z2" s="404" t="s">
        <v>549</v>
      </c>
      <c r="AA2" s="404" t="s">
        <v>550</v>
      </c>
      <c r="AB2" s="403"/>
      <c r="AC2" s="404" t="s">
        <v>459</v>
      </c>
      <c r="AD2" s="404" t="s">
        <v>437</v>
      </c>
      <c r="AE2" s="404" t="s">
        <v>548</v>
      </c>
      <c r="AF2" s="404" t="s">
        <v>549</v>
      </c>
      <c r="AG2" s="404" t="s">
        <v>549</v>
      </c>
      <c r="AH2" s="404" t="s">
        <v>550</v>
      </c>
      <c r="AI2" s="403"/>
      <c r="AJ2" s="404" t="s">
        <v>459</v>
      </c>
      <c r="AK2" s="404" t="s">
        <v>437</v>
      </c>
      <c r="AL2" s="404" t="s">
        <v>548</v>
      </c>
      <c r="AM2" s="404" t="s">
        <v>549</v>
      </c>
      <c r="AN2" s="404" t="s">
        <v>549</v>
      </c>
      <c r="AO2" s="404" t="s">
        <v>550</v>
      </c>
      <c r="AP2" s="403"/>
      <c r="AQ2" s="404" t="s">
        <v>459</v>
      </c>
      <c r="AR2" s="404" t="s">
        <v>437</v>
      </c>
      <c r="AS2" s="404" t="s">
        <v>548</v>
      </c>
      <c r="AT2" s="404" t="s">
        <v>549</v>
      </c>
      <c r="AU2" s="404" t="s">
        <v>549</v>
      </c>
      <c r="AV2" s="404" t="s">
        <v>550</v>
      </c>
      <c r="AW2" s="403"/>
      <c r="AX2" s="404" t="s">
        <v>459</v>
      </c>
      <c r="AY2" s="404" t="s">
        <v>437</v>
      </c>
      <c r="AZ2" s="404" t="s">
        <v>548</v>
      </c>
      <c r="BA2" s="404" t="s">
        <v>549</v>
      </c>
      <c r="BB2" s="404" t="s">
        <v>549</v>
      </c>
      <c r="BC2" s="404" t="s">
        <v>550</v>
      </c>
      <c r="BD2" s="403"/>
      <c r="BE2" s="404" t="s">
        <v>459</v>
      </c>
      <c r="BF2" s="404" t="s">
        <v>437</v>
      </c>
      <c r="BG2" s="404" t="s">
        <v>548</v>
      </c>
      <c r="BH2" s="404" t="s">
        <v>549</v>
      </c>
      <c r="BI2" s="404" t="s">
        <v>549</v>
      </c>
      <c r="BJ2" s="404" t="s">
        <v>550</v>
      </c>
      <c r="BK2" s="403"/>
      <c r="BL2" s="404" t="s">
        <v>459</v>
      </c>
      <c r="BM2" s="404" t="s">
        <v>437</v>
      </c>
      <c r="BN2" s="404" t="s">
        <v>548</v>
      </c>
      <c r="BO2" s="404" t="s">
        <v>549</v>
      </c>
      <c r="BP2" s="404" t="s">
        <v>549</v>
      </c>
      <c r="BQ2" s="404" t="s">
        <v>550</v>
      </c>
      <c r="BR2" s="403"/>
      <c r="BS2" s="404" t="s">
        <v>459</v>
      </c>
      <c r="BT2" s="404" t="s">
        <v>437</v>
      </c>
      <c r="BU2" s="404" t="s">
        <v>548</v>
      </c>
      <c r="BV2" s="404" t="s">
        <v>549</v>
      </c>
      <c r="BW2" s="404" t="s">
        <v>549</v>
      </c>
      <c r="BX2" s="404" t="s">
        <v>550</v>
      </c>
      <c r="BY2" s="403"/>
      <c r="BZ2" s="404" t="s">
        <v>459</v>
      </c>
      <c r="CA2" s="404" t="s">
        <v>437</v>
      </c>
      <c r="CB2" s="404" t="s">
        <v>548</v>
      </c>
      <c r="CC2" s="404" t="s">
        <v>549</v>
      </c>
      <c r="CD2" s="404" t="s">
        <v>549</v>
      </c>
      <c r="CE2" s="404" t="s">
        <v>550</v>
      </c>
      <c r="CF2" s="403"/>
      <c r="CG2" s="404" t="s">
        <v>459</v>
      </c>
      <c r="CH2" s="404" t="s">
        <v>437</v>
      </c>
      <c r="CI2" s="404" t="s">
        <v>548</v>
      </c>
      <c r="CJ2" s="404" t="s">
        <v>549</v>
      </c>
      <c r="CK2" s="404" t="s">
        <v>549</v>
      </c>
      <c r="CL2" s="404" t="s">
        <v>550</v>
      </c>
      <c r="CM2" s="403"/>
      <c r="CN2" s="404" t="s">
        <v>459</v>
      </c>
      <c r="CO2" s="404" t="s">
        <v>437</v>
      </c>
      <c r="CP2" s="404" t="s">
        <v>548</v>
      </c>
      <c r="CQ2" s="404" t="s">
        <v>549</v>
      </c>
      <c r="CR2" s="404" t="s">
        <v>549</v>
      </c>
      <c r="CS2" s="404" t="s">
        <v>550</v>
      </c>
      <c r="CT2" s="403"/>
      <c r="CU2" s="404" t="s">
        <v>459</v>
      </c>
      <c r="CV2" s="404" t="s">
        <v>437</v>
      </c>
      <c r="CW2" s="404" t="s">
        <v>548</v>
      </c>
      <c r="CX2" s="404" t="s">
        <v>549</v>
      </c>
      <c r="CY2" s="404" t="s">
        <v>549</v>
      </c>
      <c r="CZ2" s="404" t="s">
        <v>550</v>
      </c>
      <c r="DA2" s="403"/>
      <c r="DB2" s="404" t="s">
        <v>459</v>
      </c>
      <c r="DC2" s="404" t="s">
        <v>437</v>
      </c>
      <c r="DD2" s="404" t="s">
        <v>548</v>
      </c>
      <c r="DE2" s="404" t="s">
        <v>549</v>
      </c>
      <c r="DF2" s="404" t="s">
        <v>549</v>
      </c>
      <c r="DG2" s="404" t="s">
        <v>550</v>
      </c>
      <c r="DH2" s="403"/>
      <c r="DI2" s="404" t="s">
        <v>459</v>
      </c>
      <c r="DJ2" s="404" t="s">
        <v>437</v>
      </c>
      <c r="DK2" s="404" t="s">
        <v>548</v>
      </c>
      <c r="DL2" s="404" t="s">
        <v>549</v>
      </c>
      <c r="DM2" s="404" t="s">
        <v>549</v>
      </c>
      <c r="DN2" s="404" t="s">
        <v>550</v>
      </c>
    </row>
    <row r="3" spans="1:118">
      <c r="A3" s="246" t="s">
        <v>503</v>
      </c>
      <c r="B3" s="398">
        <v>1</v>
      </c>
      <c r="C3" s="399" t="s">
        <v>507</v>
      </c>
      <c r="D3" s="400" t="s">
        <v>528</v>
      </c>
      <c r="E3" s="401">
        <f t="shared" ref="E3:E32" si="2">C3*D3</f>
        <v>9.25</v>
      </c>
      <c r="F3" s="403"/>
      <c r="G3" s="405" t="s">
        <v>505</v>
      </c>
      <c r="H3" s="406">
        <v>4</v>
      </c>
      <c r="I3" s="407" t="s">
        <v>486</v>
      </c>
      <c r="J3" s="407" t="s">
        <v>528</v>
      </c>
      <c r="K3" s="408">
        <f t="shared" si="0"/>
        <v>2.25</v>
      </c>
      <c r="M3" s="397" t="s">
        <v>518</v>
      </c>
      <c r="N3" s="398">
        <v>4</v>
      </c>
      <c r="O3" s="399" t="s">
        <v>532</v>
      </c>
      <c r="P3" s="400" t="s">
        <v>520</v>
      </c>
      <c r="Q3" s="401">
        <f t="shared" si="1"/>
        <v>0.67500000000000004</v>
      </c>
      <c r="S3" s="409">
        <f>B3*D3*2</f>
        <v>5</v>
      </c>
      <c r="T3" s="409">
        <f>B3*C3</f>
        <v>3.7</v>
      </c>
      <c r="V3" s="410">
        <v>27.3</v>
      </c>
      <c r="W3" s="410">
        <v>2.85</v>
      </c>
      <c r="X3" s="410"/>
      <c r="Y3" s="410" t="s">
        <v>702</v>
      </c>
      <c r="Z3" s="410">
        <f>Q13*2+K13+K4*2</f>
        <v>24.475000000000001</v>
      </c>
      <c r="AA3" s="411">
        <f>V3*W3+X3-Z3</f>
        <v>53.330000000000005</v>
      </c>
      <c r="AC3" s="409">
        <v>3.2</v>
      </c>
      <c r="AD3" s="409">
        <v>2.65</v>
      </c>
      <c r="AE3" s="409"/>
      <c r="AF3" s="409"/>
      <c r="AG3" s="409"/>
      <c r="AH3" s="425">
        <f>AC3*AD3+AE3-AG3</f>
        <v>8.48</v>
      </c>
      <c r="AJ3" s="410"/>
      <c r="AK3" s="410"/>
      <c r="AL3" s="410"/>
      <c r="AM3" s="410"/>
      <c r="AN3" s="410"/>
      <c r="AO3" s="411">
        <f>AJ3*AK3+AL3-AN3</f>
        <v>0</v>
      </c>
      <c r="AQ3" s="410"/>
      <c r="AR3" s="410"/>
      <c r="AS3" s="410"/>
      <c r="AT3" s="410"/>
      <c r="AU3" s="410"/>
      <c r="AV3" s="411">
        <f>AQ3*AR3+AS3-AU3</f>
        <v>0</v>
      </c>
      <c r="AX3" s="410">
        <f>2.9*6</f>
        <v>17.399999999999999</v>
      </c>
      <c r="AY3" s="339">
        <v>4.7</v>
      </c>
      <c r="AZ3" s="410"/>
      <c r="BA3" s="410"/>
      <c r="BB3" s="410"/>
      <c r="BC3" s="411">
        <f>AX3*AY3+AZ3-BB3</f>
        <v>81.78</v>
      </c>
      <c r="BE3" s="410">
        <v>17.7</v>
      </c>
      <c r="BF3" s="410">
        <v>2.6</v>
      </c>
      <c r="BG3" s="410"/>
      <c r="BH3" s="410" t="s">
        <v>735</v>
      </c>
      <c r="BI3" s="410">
        <f>K13+Q13*2</f>
        <v>18.975000000000001</v>
      </c>
      <c r="BJ3" s="411">
        <f>BE3*BF3+BG3-BI3</f>
        <v>27.045000000000002</v>
      </c>
      <c r="BL3" s="410">
        <v>13.175000000000001</v>
      </c>
      <c r="BM3" s="410">
        <v>3.5</v>
      </c>
      <c r="BN3" s="410"/>
      <c r="BO3" s="410" t="s">
        <v>716</v>
      </c>
      <c r="BP3" s="410">
        <f>K3</f>
        <v>2.25</v>
      </c>
      <c r="BQ3" s="411">
        <f>BL3*BM3+BN3-BP3</f>
        <v>43.862500000000004</v>
      </c>
      <c r="BS3" s="410">
        <v>9.85</v>
      </c>
      <c r="BT3" s="339">
        <v>2.6</v>
      </c>
      <c r="BU3" s="410"/>
      <c r="BV3" s="410"/>
      <c r="BW3" s="410"/>
      <c r="BX3" s="411">
        <f>BS3*BT3+BU3-BW3</f>
        <v>25.61</v>
      </c>
      <c r="BZ3" s="410">
        <v>25.65</v>
      </c>
      <c r="CA3" s="410">
        <v>2.6</v>
      </c>
      <c r="CB3" s="410"/>
      <c r="CC3" s="410" t="s">
        <v>716</v>
      </c>
      <c r="CD3" s="410">
        <f>K3</f>
        <v>2.25</v>
      </c>
      <c r="CE3" s="411">
        <f>BZ3*CA3+CB3-CD3</f>
        <v>64.44</v>
      </c>
      <c r="CG3" s="410"/>
      <c r="CH3" s="410"/>
      <c r="CI3" s="410"/>
      <c r="CJ3" s="410"/>
      <c r="CK3" s="410"/>
      <c r="CL3" s="411">
        <f>CG3*CH3+CI3-CK3</f>
        <v>0</v>
      </c>
      <c r="CN3" s="410"/>
      <c r="CO3" s="410"/>
      <c r="CP3" s="410"/>
      <c r="CQ3" s="410"/>
      <c r="CR3" s="410"/>
      <c r="CS3" s="411">
        <f>CN3*CO3+CP3-CR3</f>
        <v>0</v>
      </c>
      <c r="CU3" s="410"/>
      <c r="CV3" s="410"/>
      <c r="CW3" s="410"/>
      <c r="CX3" s="410"/>
      <c r="CY3" s="410"/>
      <c r="CZ3" s="411">
        <f>CU3*CV3+CW3-CY3</f>
        <v>0</v>
      </c>
      <c r="DB3" s="410">
        <v>3.7</v>
      </c>
      <c r="DC3" s="410">
        <v>1</v>
      </c>
      <c r="DD3" s="410"/>
      <c r="DE3" s="410"/>
      <c r="DF3" s="410"/>
      <c r="DG3" s="411">
        <f>DB3*DC3+DD3-DF3</f>
        <v>3.7</v>
      </c>
      <c r="DI3" s="410"/>
      <c r="DJ3" s="410"/>
      <c r="DK3" s="410"/>
      <c r="DL3" s="410"/>
      <c r="DM3" s="410"/>
      <c r="DN3" s="411">
        <f>DI3*DJ3+DK3-DM3</f>
        <v>0</v>
      </c>
    </row>
    <row r="4" spans="1:118">
      <c r="A4" s="246" t="s">
        <v>504</v>
      </c>
      <c r="B4" s="398">
        <v>2</v>
      </c>
      <c r="C4" s="399" t="s">
        <v>665</v>
      </c>
      <c r="D4" s="400" t="s">
        <v>528</v>
      </c>
      <c r="E4" s="401">
        <f t="shared" si="2"/>
        <v>10.9375</v>
      </c>
      <c r="G4" s="405" t="s">
        <v>506</v>
      </c>
      <c r="H4" s="406">
        <v>8</v>
      </c>
      <c r="I4" s="407" t="s">
        <v>511</v>
      </c>
      <c r="J4" s="407" t="s">
        <v>528</v>
      </c>
      <c r="K4" s="408">
        <f t="shared" si="0"/>
        <v>2.75</v>
      </c>
      <c r="M4" s="397" t="s">
        <v>519</v>
      </c>
      <c r="N4" s="398">
        <v>2</v>
      </c>
      <c r="O4" s="399" t="s">
        <v>681</v>
      </c>
      <c r="P4" s="400" t="s">
        <v>520</v>
      </c>
      <c r="Q4" s="401">
        <f t="shared" si="1"/>
        <v>1</v>
      </c>
      <c r="S4" s="409">
        <f t="shared" ref="S4:S20" si="3">B4*D4*2</f>
        <v>10</v>
      </c>
      <c r="T4" s="409">
        <f t="shared" ref="T4:T18" si="4">B4*C4</f>
        <v>8.75</v>
      </c>
      <c r="V4" s="339">
        <v>3.7</v>
      </c>
      <c r="W4" s="339">
        <v>2.85</v>
      </c>
      <c r="X4" s="339"/>
      <c r="Y4" s="339"/>
      <c r="Z4" s="339"/>
      <c r="AA4" s="339">
        <f>V4*W4+X4-Z4</f>
        <v>10.545000000000002</v>
      </c>
      <c r="AC4" s="339">
        <v>3.2</v>
      </c>
      <c r="AD4" s="339">
        <v>2.65</v>
      </c>
      <c r="AE4" s="339"/>
      <c r="AF4" s="339"/>
      <c r="AG4" s="339"/>
      <c r="AH4" s="339">
        <f>AC4*AD4+AE4-AG4</f>
        <v>8.48</v>
      </c>
      <c r="AJ4" s="339"/>
      <c r="AK4" s="339"/>
      <c r="AL4" s="339"/>
      <c r="AM4" s="339"/>
      <c r="AN4" s="339"/>
      <c r="AO4" s="339">
        <f>AJ4*AK4+AL4-AN4</f>
        <v>0</v>
      </c>
      <c r="AQ4" s="339"/>
      <c r="AR4" s="339"/>
      <c r="AS4" s="339"/>
      <c r="AT4" s="339"/>
      <c r="AU4" s="339"/>
      <c r="AV4" s="339">
        <f>AQ4*AR4+AS4-AU4</f>
        <v>0</v>
      </c>
      <c r="AX4" s="339">
        <v>3.65</v>
      </c>
      <c r="AY4" s="339">
        <v>4.7</v>
      </c>
      <c r="AZ4" s="339"/>
      <c r="BA4" s="339"/>
      <c r="BB4" s="339"/>
      <c r="BC4" s="339">
        <f>AX4*AY4+AZ4-BB4</f>
        <v>17.155000000000001</v>
      </c>
      <c r="BE4" s="339">
        <v>27.8</v>
      </c>
      <c r="BF4" s="339">
        <v>2.6</v>
      </c>
      <c r="BG4" s="339"/>
      <c r="BH4" s="339" t="s">
        <v>736</v>
      </c>
      <c r="BI4" s="339">
        <f>K4*2</f>
        <v>5.5</v>
      </c>
      <c r="BJ4" s="339">
        <f>BE4*BF4+BG4-BI4</f>
        <v>66.78</v>
      </c>
      <c r="BL4" s="339">
        <v>7.5250000000000004</v>
      </c>
      <c r="BM4" s="339">
        <v>4.3</v>
      </c>
      <c r="BN4" s="339"/>
      <c r="BO4" s="339" t="s">
        <v>751</v>
      </c>
      <c r="BP4" s="339">
        <f>Q3+Q4</f>
        <v>1.675</v>
      </c>
      <c r="BQ4" s="339">
        <f>BL4*BM4+BN4-BP4</f>
        <v>30.682500000000001</v>
      </c>
      <c r="BS4" s="339"/>
      <c r="BT4" s="339"/>
      <c r="BU4" s="339"/>
      <c r="BV4" s="339"/>
      <c r="BW4" s="339"/>
      <c r="BX4" s="339">
        <f>BS4*BT4+BU4-BW4</f>
        <v>0</v>
      </c>
      <c r="BZ4" s="339">
        <v>23.21</v>
      </c>
      <c r="CA4" s="339">
        <v>2.6</v>
      </c>
      <c r="CB4" s="339"/>
      <c r="CC4" s="339" t="s">
        <v>752</v>
      </c>
      <c r="CD4" s="339">
        <f>K3+Q3+Q4</f>
        <v>3.9249999999999998</v>
      </c>
      <c r="CE4" s="339">
        <f>BZ4*CA4+CB4-CD4</f>
        <v>56.421000000000006</v>
      </c>
      <c r="CG4" s="339"/>
      <c r="CH4" s="339"/>
      <c r="CI4" s="339"/>
      <c r="CJ4" s="339"/>
      <c r="CK4" s="339"/>
      <c r="CL4" s="339">
        <f>CG4*CH4+CI4-CK4</f>
        <v>0</v>
      </c>
      <c r="CN4" s="339"/>
      <c r="CO4" s="339"/>
      <c r="CP4" s="339"/>
      <c r="CQ4" s="339"/>
      <c r="CR4" s="339"/>
      <c r="CS4" s="339">
        <f>CN4*CO4+CP4-CR4</f>
        <v>0</v>
      </c>
      <c r="CU4" s="339"/>
      <c r="CV4" s="339"/>
      <c r="CW4" s="339"/>
      <c r="CX4" s="339"/>
      <c r="CY4" s="339"/>
      <c r="CZ4" s="339">
        <f>CU4*CV4+CW4-CY4</f>
        <v>0</v>
      </c>
      <c r="DB4" s="410">
        <v>3.7</v>
      </c>
      <c r="DC4" s="410">
        <v>1</v>
      </c>
      <c r="DD4" s="339"/>
      <c r="DE4" s="339"/>
      <c r="DF4" s="339"/>
      <c r="DG4" s="339">
        <f>DB4*DC4+DD4-DF4</f>
        <v>3.7</v>
      </c>
      <c r="DI4" s="339"/>
      <c r="DJ4" s="339"/>
      <c r="DK4" s="339"/>
      <c r="DL4" s="339"/>
      <c r="DM4" s="339"/>
      <c r="DN4" s="339">
        <f>DI4*DJ4+DK4-DM4</f>
        <v>0</v>
      </c>
    </row>
    <row r="5" spans="1:118">
      <c r="A5" s="405" t="s">
        <v>505</v>
      </c>
      <c r="B5" s="406">
        <v>4</v>
      </c>
      <c r="C5" s="407" t="s">
        <v>486</v>
      </c>
      <c r="D5" s="407" t="s">
        <v>528</v>
      </c>
      <c r="E5" s="408">
        <f t="shared" si="2"/>
        <v>2.25</v>
      </c>
      <c r="G5" s="405" t="s">
        <v>508</v>
      </c>
      <c r="H5" s="406">
        <v>2</v>
      </c>
      <c r="I5" s="407" t="s">
        <v>525</v>
      </c>
      <c r="J5" s="407" t="s">
        <v>487</v>
      </c>
      <c r="K5" s="408">
        <f t="shared" si="0"/>
        <v>3.8949999999999996</v>
      </c>
      <c r="M5" s="397" t="s">
        <v>521</v>
      </c>
      <c r="N5" s="398">
        <v>13</v>
      </c>
      <c r="O5" s="399" t="s">
        <v>687</v>
      </c>
      <c r="P5" s="400" t="s">
        <v>516</v>
      </c>
      <c r="Q5" s="401">
        <f t="shared" si="1"/>
        <v>3.8249999999999997</v>
      </c>
      <c r="S5" s="409">
        <f t="shared" si="3"/>
        <v>20</v>
      </c>
      <c r="T5" s="409">
        <f t="shared" si="4"/>
        <v>3.6</v>
      </c>
      <c r="V5" s="339">
        <v>1</v>
      </c>
      <c r="W5" s="339">
        <v>2.85</v>
      </c>
      <c r="X5" s="339"/>
      <c r="Y5" s="339"/>
      <c r="Z5" s="339"/>
      <c r="AA5" s="339">
        <f t="shared" ref="AA5:AA100" si="5">V5*W5+X5-Z5</f>
        <v>2.85</v>
      </c>
      <c r="AC5" s="339">
        <v>3.7</v>
      </c>
      <c r="AD5" s="339">
        <v>2.65</v>
      </c>
      <c r="AE5" s="339"/>
      <c r="AF5" s="339"/>
      <c r="AG5" s="339"/>
      <c r="AH5" s="339">
        <f t="shared" ref="AH5:AH100" si="6">AC5*AD5+AE5-AG5</f>
        <v>9.8049999999999997</v>
      </c>
      <c r="AJ5" s="339"/>
      <c r="AK5" s="339"/>
      <c r="AL5" s="339"/>
      <c r="AM5" s="339"/>
      <c r="AN5" s="339"/>
      <c r="AO5" s="339">
        <f t="shared" ref="AO5:AO100" si="7">AJ5*AK5+AL5-AN5</f>
        <v>0</v>
      </c>
      <c r="AQ5" s="339"/>
      <c r="AR5" s="339"/>
      <c r="AS5" s="339"/>
      <c r="AT5" s="339"/>
      <c r="AU5" s="339"/>
      <c r="AV5" s="339">
        <f t="shared" ref="AV5:AV100" si="8">AQ5*AR5+AS5-AU5</f>
        <v>0</v>
      </c>
      <c r="AX5" s="339">
        <v>3.65</v>
      </c>
      <c r="AY5" s="339">
        <v>4.7</v>
      </c>
      <c r="AZ5" s="339"/>
      <c r="BA5" s="339"/>
      <c r="BB5" s="339"/>
      <c r="BC5" s="339">
        <f t="shared" ref="BC5:BC100" si="9">AX5*AY5+AZ5-BB5</f>
        <v>17.155000000000001</v>
      </c>
      <c r="BE5" s="339">
        <f>1.2*2</f>
        <v>2.4</v>
      </c>
      <c r="BF5" s="339">
        <v>2.6</v>
      </c>
      <c r="BG5" s="339"/>
      <c r="BH5" s="339"/>
      <c r="BI5" s="339"/>
      <c r="BJ5" s="339">
        <f t="shared" ref="BJ5:BJ100" si="10">BE5*BF5+BG5-BI5</f>
        <v>6.24</v>
      </c>
      <c r="BL5" s="339"/>
      <c r="BM5" s="339"/>
      <c r="BN5" s="339"/>
      <c r="BO5" s="339"/>
      <c r="BP5" s="339"/>
      <c r="BQ5" s="339">
        <f t="shared" ref="BQ5:BQ100" si="11">BL5*BM5+BN5-BP5</f>
        <v>0</v>
      </c>
      <c r="BS5" s="339"/>
      <c r="BT5" s="339"/>
      <c r="BU5" s="339"/>
      <c r="BV5" s="339"/>
      <c r="BW5" s="339"/>
      <c r="BX5" s="339">
        <f t="shared" ref="BX5:BX100" si="12">BS5*BT5+BU5-BW5</f>
        <v>0</v>
      </c>
      <c r="BZ5" s="339"/>
      <c r="CA5" s="339"/>
      <c r="CB5" s="339"/>
      <c r="CC5" s="339"/>
      <c r="CD5" s="339"/>
      <c r="CE5" s="339">
        <f t="shared" ref="CE5:CE100" si="13">BZ5*CA5+CB5-CD5</f>
        <v>0</v>
      </c>
      <c r="CG5" s="339"/>
      <c r="CH5" s="339"/>
      <c r="CI5" s="339"/>
      <c r="CJ5" s="339"/>
      <c r="CK5" s="339"/>
      <c r="CL5" s="339">
        <f t="shared" ref="CL5:CL100" si="14">CG5*CH5+CI5-CK5</f>
        <v>0</v>
      </c>
      <c r="CN5" s="339"/>
      <c r="CO5" s="339"/>
      <c r="CP5" s="339"/>
      <c r="CQ5" s="339"/>
      <c r="CR5" s="339"/>
      <c r="CS5" s="339">
        <f t="shared" ref="CS5:CS100" si="15">CN5*CO5+CP5-CR5</f>
        <v>0</v>
      </c>
      <c r="CU5" s="339"/>
      <c r="CV5" s="339"/>
      <c r="CW5" s="339"/>
      <c r="CX5" s="339"/>
      <c r="CY5" s="339"/>
      <c r="CZ5" s="339">
        <f t="shared" ref="CZ5:CZ100" si="16">CU5*CV5+CW5-CY5</f>
        <v>0</v>
      </c>
      <c r="DB5" s="339">
        <v>7.6</v>
      </c>
      <c r="DC5" s="339">
        <v>1</v>
      </c>
      <c r="DD5" s="339"/>
      <c r="DE5" s="339"/>
      <c r="DF5" s="339"/>
      <c r="DG5" s="339">
        <f t="shared" ref="DG5:DG100" si="17">DB5*DC5+DD5-DF5</f>
        <v>7.6</v>
      </c>
      <c r="DI5" s="339"/>
      <c r="DJ5" s="339"/>
      <c r="DK5" s="339"/>
      <c r="DL5" s="339"/>
      <c r="DM5" s="339"/>
      <c r="DN5" s="339">
        <f t="shared" ref="DN5:DN100" si="18">DI5*DJ5+DK5-DM5</f>
        <v>0</v>
      </c>
    </row>
    <row r="6" spans="1:118">
      <c r="A6" s="405" t="s">
        <v>506</v>
      </c>
      <c r="B6" s="406">
        <v>8</v>
      </c>
      <c r="C6" s="407" t="s">
        <v>511</v>
      </c>
      <c r="D6" s="407" t="s">
        <v>528</v>
      </c>
      <c r="E6" s="408">
        <f t="shared" si="2"/>
        <v>2.75</v>
      </c>
      <c r="G6" s="246" t="s">
        <v>509</v>
      </c>
      <c r="H6" s="398">
        <v>4</v>
      </c>
      <c r="I6" s="399" t="s">
        <v>525</v>
      </c>
      <c r="J6" s="400" t="s">
        <v>528</v>
      </c>
      <c r="K6" s="401">
        <f t="shared" si="0"/>
        <v>4.75</v>
      </c>
      <c r="M6" s="397" t="s">
        <v>522</v>
      </c>
      <c r="N6" s="398">
        <v>3</v>
      </c>
      <c r="O6" s="399" t="s">
        <v>666</v>
      </c>
      <c r="P6" s="400" t="s">
        <v>689</v>
      </c>
      <c r="Q6" s="401">
        <f t="shared" si="1"/>
        <v>7.7000000000000011</v>
      </c>
      <c r="S6" s="409">
        <f t="shared" si="3"/>
        <v>40</v>
      </c>
      <c r="T6" s="409">
        <f t="shared" si="4"/>
        <v>8.8000000000000007</v>
      </c>
      <c r="V6" s="339">
        <v>3.7</v>
      </c>
      <c r="W6" s="339">
        <v>2.85</v>
      </c>
      <c r="X6" s="339"/>
      <c r="Y6" s="339"/>
      <c r="Z6" s="339"/>
      <c r="AA6" s="339">
        <f t="shared" si="5"/>
        <v>10.545000000000002</v>
      </c>
      <c r="AC6" s="339">
        <v>3.7</v>
      </c>
      <c r="AD6" s="339">
        <v>2.65</v>
      </c>
      <c r="AE6" s="339"/>
      <c r="AF6" s="339"/>
      <c r="AG6" s="339"/>
      <c r="AH6" s="339">
        <f t="shared" si="6"/>
        <v>9.8049999999999997</v>
      </c>
      <c r="AJ6" s="339"/>
      <c r="AK6" s="339"/>
      <c r="AL6" s="339"/>
      <c r="AM6" s="339"/>
      <c r="AN6" s="339"/>
      <c r="AO6" s="339">
        <f t="shared" si="7"/>
        <v>0</v>
      </c>
      <c r="AQ6" s="339"/>
      <c r="AR6" s="339"/>
      <c r="AS6" s="339"/>
      <c r="AT6" s="339"/>
      <c r="AU6" s="339"/>
      <c r="AV6" s="339">
        <f t="shared" si="8"/>
        <v>0</v>
      </c>
      <c r="AX6" s="339">
        <v>20.55</v>
      </c>
      <c r="AY6" s="339">
        <v>1</v>
      </c>
      <c r="AZ6" s="339"/>
      <c r="BA6" s="339"/>
      <c r="BB6" s="339"/>
      <c r="BC6" s="339">
        <f t="shared" si="9"/>
        <v>20.55</v>
      </c>
      <c r="BE6" s="339">
        <v>13.6</v>
      </c>
      <c r="BF6" s="339">
        <v>4.4000000000000004</v>
      </c>
      <c r="BG6" s="339"/>
      <c r="BH6" s="339" t="s">
        <v>706</v>
      </c>
      <c r="BI6" s="339">
        <f>K5</f>
        <v>3.8949999999999996</v>
      </c>
      <c r="BJ6" s="339">
        <f t="shared" si="10"/>
        <v>55.945000000000007</v>
      </c>
      <c r="BL6" s="339"/>
      <c r="BM6" s="339"/>
      <c r="BN6" s="339"/>
      <c r="BO6" s="339"/>
      <c r="BP6" s="339"/>
      <c r="BQ6" s="339">
        <f t="shared" si="11"/>
        <v>0</v>
      </c>
      <c r="BS6" s="339"/>
      <c r="BT6" s="339"/>
      <c r="BU6" s="339"/>
      <c r="BV6" s="339"/>
      <c r="BW6" s="339"/>
      <c r="BX6" s="339">
        <f t="shared" si="12"/>
        <v>0</v>
      </c>
      <c r="BZ6" s="339"/>
      <c r="CA6" s="339"/>
      <c r="CB6" s="339"/>
      <c r="CC6" s="339"/>
      <c r="CD6" s="339"/>
      <c r="CE6" s="339">
        <f t="shared" si="13"/>
        <v>0</v>
      </c>
      <c r="CG6" s="339"/>
      <c r="CH6" s="339"/>
      <c r="CI6" s="339"/>
      <c r="CJ6" s="339"/>
      <c r="CK6" s="339"/>
      <c r="CL6" s="339">
        <f t="shared" si="14"/>
        <v>0</v>
      </c>
      <c r="CN6" s="339"/>
      <c r="CO6" s="339"/>
      <c r="CP6" s="339"/>
      <c r="CQ6" s="339"/>
      <c r="CR6" s="339"/>
      <c r="CS6" s="339">
        <f t="shared" si="15"/>
        <v>0</v>
      </c>
      <c r="CU6" s="339"/>
      <c r="CV6" s="339"/>
      <c r="CW6" s="339"/>
      <c r="CX6" s="339"/>
      <c r="CY6" s="339"/>
      <c r="CZ6" s="339">
        <f t="shared" si="16"/>
        <v>0</v>
      </c>
      <c r="DB6" s="339">
        <v>7.6</v>
      </c>
      <c r="DC6" s="339">
        <v>1</v>
      </c>
      <c r="DD6" s="339"/>
      <c r="DE6" s="339"/>
      <c r="DF6" s="339"/>
      <c r="DG6" s="339">
        <f t="shared" si="17"/>
        <v>7.6</v>
      </c>
      <c r="DI6" s="339"/>
      <c r="DJ6" s="339"/>
      <c r="DK6" s="339"/>
      <c r="DL6" s="339"/>
      <c r="DM6" s="339"/>
      <c r="DN6" s="339">
        <f t="shared" si="18"/>
        <v>0</v>
      </c>
    </row>
    <row r="7" spans="1:118">
      <c r="A7" s="405" t="s">
        <v>508</v>
      </c>
      <c r="B7" s="406">
        <v>2</v>
      </c>
      <c r="C7" s="407" t="s">
        <v>525</v>
      </c>
      <c r="D7" s="407" t="s">
        <v>487</v>
      </c>
      <c r="E7" s="408">
        <f t="shared" si="2"/>
        <v>3.8949999999999996</v>
      </c>
      <c r="G7" s="405" t="s">
        <v>510</v>
      </c>
      <c r="H7" s="406">
        <v>3</v>
      </c>
      <c r="I7" s="407" t="s">
        <v>525</v>
      </c>
      <c r="J7" s="407" t="s">
        <v>528</v>
      </c>
      <c r="K7" s="408">
        <f t="shared" si="0"/>
        <v>4.75</v>
      </c>
      <c r="M7" s="397" t="s">
        <v>523</v>
      </c>
      <c r="N7" s="398">
        <v>2</v>
      </c>
      <c r="O7" s="399" t="s">
        <v>516</v>
      </c>
      <c r="P7" s="400" t="s">
        <v>689</v>
      </c>
      <c r="Q7" s="401">
        <f t="shared" si="1"/>
        <v>3.3000000000000003</v>
      </c>
      <c r="S7" s="409">
        <f t="shared" si="3"/>
        <v>8.1999999999999993</v>
      </c>
      <c r="T7" s="409">
        <f t="shared" si="4"/>
        <v>3.8</v>
      </c>
      <c r="V7" s="339">
        <v>3.7</v>
      </c>
      <c r="W7" s="339">
        <v>2.85</v>
      </c>
      <c r="X7" s="339"/>
      <c r="Y7" s="339"/>
      <c r="Z7" s="339"/>
      <c r="AA7" s="339">
        <f t="shared" si="5"/>
        <v>10.545000000000002</v>
      </c>
      <c r="AC7" s="339">
        <v>3.7</v>
      </c>
      <c r="AD7" s="339">
        <v>2.65</v>
      </c>
      <c r="AE7" s="339"/>
      <c r="AF7" s="339"/>
      <c r="AG7" s="339"/>
      <c r="AH7" s="339">
        <f t="shared" si="6"/>
        <v>9.8049999999999997</v>
      </c>
      <c r="AJ7" s="339"/>
      <c r="AK7" s="339"/>
      <c r="AL7" s="339"/>
      <c r="AM7" s="339"/>
      <c r="AN7" s="339"/>
      <c r="AO7" s="339">
        <f t="shared" si="7"/>
        <v>0</v>
      </c>
      <c r="AQ7" s="339"/>
      <c r="AR7" s="339"/>
      <c r="AS7" s="339"/>
      <c r="AT7" s="339"/>
      <c r="AU7" s="339"/>
      <c r="AV7" s="339">
        <f t="shared" si="8"/>
        <v>0</v>
      </c>
      <c r="AX7" s="339">
        <v>14.7</v>
      </c>
      <c r="AY7" s="339">
        <v>1</v>
      </c>
      <c r="AZ7" s="339"/>
      <c r="BA7" s="339"/>
      <c r="BB7" s="339"/>
      <c r="BC7" s="339">
        <f t="shared" si="9"/>
        <v>14.7</v>
      </c>
      <c r="BE7" s="339">
        <v>14</v>
      </c>
      <c r="BF7" s="339">
        <v>4.4000000000000004</v>
      </c>
      <c r="BG7" s="339"/>
      <c r="BH7" s="339" t="s">
        <v>706</v>
      </c>
      <c r="BI7" s="339">
        <f>K5</f>
        <v>3.8949999999999996</v>
      </c>
      <c r="BJ7" s="339">
        <f t="shared" si="10"/>
        <v>57.705000000000013</v>
      </c>
      <c r="BL7" s="339"/>
      <c r="BM7" s="339"/>
      <c r="BN7" s="339"/>
      <c r="BO7" s="339"/>
      <c r="BP7" s="339"/>
      <c r="BQ7" s="339">
        <f t="shared" si="11"/>
        <v>0</v>
      </c>
      <c r="BS7" s="339"/>
      <c r="BT7" s="339"/>
      <c r="BU7" s="339"/>
      <c r="BV7" s="339"/>
      <c r="BW7" s="339"/>
      <c r="BX7" s="339">
        <f t="shared" si="12"/>
        <v>0</v>
      </c>
      <c r="BZ7" s="339"/>
      <c r="CA7" s="339"/>
      <c r="CB7" s="339"/>
      <c r="CC7" s="339"/>
      <c r="CD7" s="339"/>
      <c r="CE7" s="339">
        <f t="shared" si="13"/>
        <v>0</v>
      </c>
      <c r="CG7" s="339"/>
      <c r="CH7" s="339"/>
      <c r="CI7" s="339"/>
      <c r="CJ7" s="339"/>
      <c r="CK7" s="339"/>
      <c r="CL7" s="339">
        <f t="shared" si="14"/>
        <v>0</v>
      </c>
      <c r="CN7" s="339"/>
      <c r="CO7" s="339"/>
      <c r="CP7" s="339"/>
      <c r="CQ7" s="339"/>
      <c r="CR7" s="339"/>
      <c r="CS7" s="339">
        <f t="shared" si="15"/>
        <v>0</v>
      </c>
      <c r="CU7" s="339"/>
      <c r="CV7" s="339"/>
      <c r="CW7" s="339"/>
      <c r="CX7" s="339"/>
      <c r="CY7" s="339"/>
      <c r="CZ7" s="339">
        <f t="shared" si="16"/>
        <v>0</v>
      </c>
      <c r="DB7" s="339">
        <v>7.6</v>
      </c>
      <c r="DC7" s="339">
        <v>1</v>
      </c>
      <c r="DD7" s="339"/>
      <c r="DE7" s="339"/>
      <c r="DF7" s="339"/>
      <c r="DG7" s="339">
        <f t="shared" si="17"/>
        <v>7.6</v>
      </c>
      <c r="DI7" s="339"/>
      <c r="DJ7" s="339"/>
      <c r="DK7" s="339"/>
      <c r="DL7" s="339"/>
      <c r="DM7" s="339"/>
      <c r="DN7" s="339">
        <f t="shared" si="18"/>
        <v>0</v>
      </c>
    </row>
    <row r="8" spans="1:118">
      <c r="A8" s="246" t="s">
        <v>509</v>
      </c>
      <c r="B8" s="398">
        <v>4</v>
      </c>
      <c r="C8" s="399" t="s">
        <v>525</v>
      </c>
      <c r="D8" s="400" t="s">
        <v>528</v>
      </c>
      <c r="E8" s="401">
        <f t="shared" si="2"/>
        <v>4.75</v>
      </c>
      <c r="G8" s="405" t="s">
        <v>512</v>
      </c>
      <c r="H8" s="406">
        <v>2</v>
      </c>
      <c r="I8" s="407" t="s">
        <v>468</v>
      </c>
      <c r="J8" s="407" t="s">
        <v>487</v>
      </c>
      <c r="K8" s="408">
        <f t="shared" si="0"/>
        <v>2.0499999999999998</v>
      </c>
      <c r="M8" s="397" t="s">
        <v>524</v>
      </c>
      <c r="N8" s="398">
        <v>2</v>
      </c>
      <c r="O8" s="399" t="s">
        <v>520</v>
      </c>
      <c r="P8" s="400" t="s">
        <v>690</v>
      </c>
      <c r="Q8" s="401">
        <f t="shared" si="1"/>
        <v>5.55</v>
      </c>
      <c r="S8" s="409">
        <f t="shared" si="3"/>
        <v>20</v>
      </c>
      <c r="T8" s="409">
        <f t="shared" si="4"/>
        <v>7.6</v>
      </c>
      <c r="V8" s="339">
        <v>3.7</v>
      </c>
      <c r="W8" s="339">
        <v>2.85</v>
      </c>
      <c r="X8" s="339"/>
      <c r="Y8" s="339"/>
      <c r="Z8" s="339"/>
      <c r="AA8" s="339">
        <f t="shared" si="5"/>
        <v>10.545000000000002</v>
      </c>
      <c r="AC8" s="339">
        <v>3.7</v>
      </c>
      <c r="AD8" s="339">
        <v>2.65</v>
      </c>
      <c r="AE8" s="339"/>
      <c r="AF8" s="339"/>
      <c r="AG8" s="339"/>
      <c r="AH8" s="339">
        <f t="shared" si="6"/>
        <v>9.8049999999999997</v>
      </c>
      <c r="AJ8" s="339"/>
      <c r="AK8" s="339"/>
      <c r="AL8" s="339"/>
      <c r="AM8" s="339"/>
      <c r="AN8" s="339"/>
      <c r="AO8" s="339">
        <f t="shared" si="7"/>
        <v>0</v>
      </c>
      <c r="AQ8" s="339"/>
      <c r="AR8" s="339"/>
      <c r="AS8" s="339"/>
      <c r="AT8" s="339"/>
      <c r="AU8" s="339"/>
      <c r="AV8" s="339">
        <f t="shared" si="8"/>
        <v>0</v>
      </c>
      <c r="AX8" s="339">
        <v>3.7</v>
      </c>
      <c r="AY8" s="339">
        <v>1</v>
      </c>
      <c r="AZ8" s="339"/>
      <c r="BA8" s="339"/>
      <c r="BB8" s="339"/>
      <c r="BC8" s="339">
        <f t="shared" si="9"/>
        <v>3.7</v>
      </c>
      <c r="BE8" s="339">
        <v>27.5</v>
      </c>
      <c r="BF8" s="339">
        <v>2.6</v>
      </c>
      <c r="BG8" s="339"/>
      <c r="BH8" s="339" t="s">
        <v>737</v>
      </c>
      <c r="BI8" s="339">
        <f>K4+Q5</f>
        <v>6.5749999999999993</v>
      </c>
      <c r="BJ8" s="339">
        <f t="shared" si="10"/>
        <v>64.924999999999997</v>
      </c>
      <c r="BL8" s="339"/>
      <c r="BM8" s="339"/>
      <c r="BN8" s="339"/>
      <c r="BO8" s="339"/>
      <c r="BP8" s="339"/>
      <c r="BQ8" s="339">
        <f t="shared" si="11"/>
        <v>0</v>
      </c>
      <c r="BS8" s="339"/>
      <c r="BT8" s="339"/>
      <c r="BU8" s="339"/>
      <c r="BV8" s="339"/>
      <c r="BW8" s="339"/>
      <c r="BX8" s="339">
        <f t="shared" si="12"/>
        <v>0</v>
      </c>
      <c r="BZ8" s="339"/>
      <c r="CA8" s="339"/>
      <c r="CB8" s="339"/>
      <c r="CC8" s="339"/>
      <c r="CD8" s="339"/>
      <c r="CE8" s="339">
        <f t="shared" si="13"/>
        <v>0</v>
      </c>
      <c r="CG8" s="339"/>
      <c r="CH8" s="339"/>
      <c r="CI8" s="339"/>
      <c r="CJ8" s="339"/>
      <c r="CK8" s="339"/>
      <c r="CL8" s="339">
        <f t="shared" si="14"/>
        <v>0</v>
      </c>
      <c r="CN8" s="339"/>
      <c r="CO8" s="339"/>
      <c r="CP8" s="339"/>
      <c r="CQ8" s="339"/>
      <c r="CR8" s="339"/>
      <c r="CS8" s="339">
        <f t="shared" si="15"/>
        <v>0</v>
      </c>
      <c r="CU8" s="339"/>
      <c r="CV8" s="339"/>
      <c r="CW8" s="339"/>
      <c r="CX8" s="339"/>
      <c r="CY8" s="339"/>
      <c r="CZ8" s="339">
        <f t="shared" si="16"/>
        <v>0</v>
      </c>
      <c r="DB8" s="339">
        <v>6.2</v>
      </c>
      <c r="DC8" s="339">
        <v>1</v>
      </c>
      <c r="DD8" s="339"/>
      <c r="DE8" s="339"/>
      <c r="DF8" s="339"/>
      <c r="DG8" s="339">
        <f t="shared" si="17"/>
        <v>6.2</v>
      </c>
      <c r="DI8" s="339"/>
      <c r="DJ8" s="339"/>
      <c r="DK8" s="339"/>
      <c r="DL8" s="339"/>
      <c r="DM8" s="339"/>
      <c r="DN8" s="339">
        <f t="shared" si="18"/>
        <v>0</v>
      </c>
    </row>
    <row r="9" spans="1:118">
      <c r="A9" s="405" t="s">
        <v>510</v>
      </c>
      <c r="B9" s="406">
        <v>3</v>
      </c>
      <c r="C9" s="407" t="s">
        <v>525</v>
      </c>
      <c r="D9" s="407" t="s">
        <v>528</v>
      </c>
      <c r="E9" s="408">
        <f t="shared" si="2"/>
        <v>4.75</v>
      </c>
      <c r="G9" s="405" t="s">
        <v>513</v>
      </c>
      <c r="H9" s="406">
        <v>2</v>
      </c>
      <c r="I9" s="407" t="s">
        <v>486</v>
      </c>
      <c r="J9" s="407" t="s">
        <v>487</v>
      </c>
      <c r="K9" s="408">
        <f t="shared" si="0"/>
        <v>1.845</v>
      </c>
      <c r="M9" s="397" t="s">
        <v>526</v>
      </c>
      <c r="N9" s="398">
        <v>3</v>
      </c>
      <c r="O9" s="399" t="s">
        <v>666</v>
      </c>
      <c r="P9" s="400" t="s">
        <v>516</v>
      </c>
      <c r="Q9" s="401">
        <f>O9*P9</f>
        <v>5.25</v>
      </c>
      <c r="S9" s="409">
        <f t="shared" si="3"/>
        <v>15</v>
      </c>
      <c r="T9" s="409">
        <f t="shared" si="4"/>
        <v>5.6999999999999993</v>
      </c>
      <c r="V9" s="339">
        <v>3.7</v>
      </c>
      <c r="W9" s="339">
        <v>2.85</v>
      </c>
      <c r="X9" s="339"/>
      <c r="Y9" s="339"/>
      <c r="Z9" s="339"/>
      <c r="AA9" s="339">
        <f t="shared" si="5"/>
        <v>10.545000000000002</v>
      </c>
      <c r="AC9" s="339">
        <v>3.7</v>
      </c>
      <c r="AD9" s="339">
        <v>2.65</v>
      </c>
      <c r="AE9" s="339"/>
      <c r="AF9" s="339"/>
      <c r="AG9" s="339"/>
      <c r="AH9" s="339">
        <f t="shared" si="6"/>
        <v>9.8049999999999997</v>
      </c>
      <c r="AJ9" s="339"/>
      <c r="AK9" s="339"/>
      <c r="AL9" s="339"/>
      <c r="AM9" s="339"/>
      <c r="AN9" s="339"/>
      <c r="AO9" s="339">
        <f t="shared" si="7"/>
        <v>0</v>
      </c>
      <c r="AQ9" s="339"/>
      <c r="AR9" s="339"/>
      <c r="AS9" s="339"/>
      <c r="AT9" s="339"/>
      <c r="AU9" s="339"/>
      <c r="AV9" s="339">
        <f t="shared" si="8"/>
        <v>0</v>
      </c>
      <c r="AX9" s="339">
        <v>3.7</v>
      </c>
      <c r="AY9" s="339">
        <v>1</v>
      </c>
      <c r="AZ9" s="339"/>
      <c r="BA9" s="339"/>
      <c r="BB9" s="339"/>
      <c r="BC9" s="339">
        <f t="shared" si="9"/>
        <v>3.7</v>
      </c>
      <c r="BE9" s="339">
        <v>27.5</v>
      </c>
      <c r="BF9" s="339">
        <v>2.6</v>
      </c>
      <c r="BG9" s="339"/>
      <c r="BH9" s="339" t="s">
        <v>737</v>
      </c>
      <c r="BI9" s="339">
        <f>K4+Q5</f>
        <v>6.5749999999999993</v>
      </c>
      <c r="BJ9" s="339">
        <f t="shared" si="10"/>
        <v>64.924999999999997</v>
      </c>
      <c r="BL9" s="339"/>
      <c r="BM9" s="339"/>
      <c r="BN9" s="339"/>
      <c r="BO9" s="339"/>
      <c r="BP9" s="339"/>
      <c r="BQ9" s="339">
        <f t="shared" si="11"/>
        <v>0</v>
      </c>
      <c r="BS9" s="339"/>
      <c r="BT9" s="339"/>
      <c r="BU9" s="339"/>
      <c r="BV9" s="339"/>
      <c r="BW9" s="339"/>
      <c r="BX9" s="339">
        <f t="shared" si="12"/>
        <v>0</v>
      </c>
      <c r="BZ9" s="339"/>
      <c r="CA9" s="339"/>
      <c r="CB9" s="339"/>
      <c r="CC9" s="339"/>
      <c r="CD9" s="339"/>
      <c r="CE9" s="339">
        <f t="shared" si="13"/>
        <v>0</v>
      </c>
      <c r="CG9" s="339"/>
      <c r="CH9" s="339"/>
      <c r="CI9" s="339"/>
      <c r="CJ9" s="339"/>
      <c r="CK9" s="339"/>
      <c r="CL9" s="339">
        <f t="shared" si="14"/>
        <v>0</v>
      </c>
      <c r="CN9" s="339"/>
      <c r="CO9" s="339"/>
      <c r="CP9" s="339"/>
      <c r="CQ9" s="339"/>
      <c r="CR9" s="339"/>
      <c r="CS9" s="339">
        <f t="shared" si="15"/>
        <v>0</v>
      </c>
      <c r="CU9" s="339"/>
      <c r="CV9" s="339"/>
      <c r="CW9" s="339"/>
      <c r="CX9" s="339"/>
      <c r="CY9" s="339"/>
      <c r="CZ9" s="339">
        <f t="shared" si="16"/>
        <v>0</v>
      </c>
      <c r="DB9" s="339">
        <v>18.55</v>
      </c>
      <c r="DC9" s="339">
        <v>4.7</v>
      </c>
      <c r="DD9" s="339"/>
      <c r="DE9" s="339" t="s">
        <v>759</v>
      </c>
      <c r="DF9" s="339">
        <f>Q8*2+Q12*2</f>
        <v>20.549999999999997</v>
      </c>
      <c r="DG9" s="339">
        <f t="shared" si="17"/>
        <v>66.635000000000005</v>
      </c>
      <c r="DI9" s="339"/>
      <c r="DJ9" s="339"/>
      <c r="DK9" s="339"/>
      <c r="DL9" s="339"/>
      <c r="DM9" s="339"/>
      <c r="DN9" s="339">
        <f t="shared" si="18"/>
        <v>0</v>
      </c>
    </row>
    <row r="10" spans="1:118">
      <c r="A10" s="405" t="s">
        <v>512</v>
      </c>
      <c r="B10" s="406">
        <v>2</v>
      </c>
      <c r="C10" s="407" t="s">
        <v>468</v>
      </c>
      <c r="D10" s="407" t="s">
        <v>487</v>
      </c>
      <c r="E10" s="408">
        <f t="shared" si="2"/>
        <v>2.0499999999999998</v>
      </c>
      <c r="G10" s="405" t="s">
        <v>226</v>
      </c>
      <c r="H10" s="406">
        <v>1</v>
      </c>
      <c r="I10" s="407" t="s">
        <v>525</v>
      </c>
      <c r="J10" s="407" t="s">
        <v>487</v>
      </c>
      <c r="K10" s="408">
        <f t="shared" si="0"/>
        <v>3.8949999999999996</v>
      </c>
      <c r="M10" s="397" t="s">
        <v>527</v>
      </c>
      <c r="N10" s="398">
        <v>3</v>
      </c>
      <c r="O10" s="399" t="s">
        <v>665</v>
      </c>
      <c r="P10" s="400" t="s">
        <v>516</v>
      </c>
      <c r="Q10" s="401">
        <f>O10*P10</f>
        <v>6.5625</v>
      </c>
      <c r="S10" s="409">
        <f t="shared" si="3"/>
        <v>8.1999999999999993</v>
      </c>
      <c r="T10" s="409">
        <f t="shared" si="4"/>
        <v>2</v>
      </c>
      <c r="V10" s="424">
        <v>3.1</v>
      </c>
      <c r="W10" s="424">
        <v>1.22</v>
      </c>
      <c r="X10" s="424"/>
      <c r="Y10" s="424" t="s">
        <v>703</v>
      </c>
      <c r="Z10" s="424">
        <f>Q2</f>
        <v>2.2999999999999998</v>
      </c>
      <c r="AA10" s="339">
        <f t="shared" si="5"/>
        <v>1.4820000000000002</v>
      </c>
      <c r="AC10" s="339">
        <v>3.7</v>
      </c>
      <c r="AD10" s="339">
        <v>2.65</v>
      </c>
      <c r="AE10" s="339"/>
      <c r="AF10" s="339" t="s">
        <v>716</v>
      </c>
      <c r="AG10" s="339">
        <f>K3</f>
        <v>2.25</v>
      </c>
      <c r="AH10" s="339">
        <f t="shared" si="6"/>
        <v>7.5549999999999997</v>
      </c>
      <c r="AJ10" s="339"/>
      <c r="AK10" s="339"/>
      <c r="AL10" s="339"/>
      <c r="AM10" s="339"/>
      <c r="AN10" s="339"/>
      <c r="AO10" s="339">
        <f t="shared" si="7"/>
        <v>0</v>
      </c>
      <c r="AQ10" s="339"/>
      <c r="AR10" s="339"/>
      <c r="AS10" s="339"/>
      <c r="AT10" s="339"/>
      <c r="AU10" s="339"/>
      <c r="AV10" s="339">
        <f t="shared" si="8"/>
        <v>0</v>
      </c>
      <c r="AX10" s="339">
        <v>3.7</v>
      </c>
      <c r="AY10" s="339">
        <v>1</v>
      </c>
      <c r="AZ10" s="339"/>
      <c r="BA10" s="339"/>
      <c r="BB10" s="339"/>
      <c r="BC10" s="339">
        <f t="shared" si="9"/>
        <v>3.7</v>
      </c>
      <c r="BE10" s="339">
        <v>27.5</v>
      </c>
      <c r="BF10" s="339">
        <v>2.6</v>
      </c>
      <c r="BG10" s="339"/>
      <c r="BH10" s="339" t="s">
        <v>737</v>
      </c>
      <c r="BI10" s="339">
        <f>K4+Q5</f>
        <v>6.5749999999999993</v>
      </c>
      <c r="BJ10" s="339">
        <f t="shared" si="10"/>
        <v>64.924999999999997</v>
      </c>
      <c r="BL10" s="339"/>
      <c r="BM10" s="339"/>
      <c r="BN10" s="339"/>
      <c r="BO10" s="339"/>
      <c r="BP10" s="339"/>
      <c r="BQ10" s="339">
        <f t="shared" si="11"/>
        <v>0</v>
      </c>
      <c r="BS10" s="339"/>
      <c r="BT10" s="339"/>
      <c r="BU10" s="339"/>
      <c r="BV10" s="339"/>
      <c r="BW10" s="339"/>
      <c r="BX10" s="339">
        <f t="shared" si="12"/>
        <v>0</v>
      </c>
      <c r="BZ10" s="339"/>
      <c r="CA10" s="339"/>
      <c r="CB10" s="339"/>
      <c r="CC10" s="339"/>
      <c r="CD10" s="339"/>
      <c r="CE10" s="339">
        <f t="shared" si="13"/>
        <v>0</v>
      </c>
      <c r="CG10" s="339"/>
      <c r="CH10" s="339"/>
      <c r="CI10" s="339"/>
      <c r="CJ10" s="339"/>
      <c r="CK10" s="339"/>
      <c r="CL10" s="339">
        <f t="shared" si="14"/>
        <v>0</v>
      </c>
      <c r="CN10" s="339"/>
      <c r="CO10" s="339"/>
      <c r="CP10" s="339"/>
      <c r="CQ10" s="339"/>
      <c r="CR10" s="339"/>
      <c r="CS10" s="339">
        <f t="shared" si="15"/>
        <v>0</v>
      </c>
      <c r="CU10" s="339"/>
      <c r="CV10" s="339"/>
      <c r="CW10" s="339"/>
      <c r="CX10" s="339"/>
      <c r="CY10" s="339"/>
      <c r="CZ10" s="339">
        <f t="shared" si="16"/>
        <v>0</v>
      </c>
      <c r="DB10" s="339"/>
      <c r="DC10" s="339"/>
      <c r="DD10" s="339"/>
      <c r="DE10" s="339"/>
      <c r="DF10" s="339"/>
      <c r="DG10" s="339">
        <f t="shared" si="17"/>
        <v>0</v>
      </c>
      <c r="DI10" s="339"/>
      <c r="DJ10" s="339"/>
      <c r="DK10" s="339"/>
      <c r="DL10" s="339"/>
      <c r="DM10" s="339"/>
      <c r="DN10" s="339">
        <f t="shared" si="18"/>
        <v>0</v>
      </c>
    </row>
    <row r="11" spans="1:118">
      <c r="A11" s="405" t="s">
        <v>513</v>
      </c>
      <c r="B11" s="406">
        <v>2</v>
      </c>
      <c r="C11" s="407" t="s">
        <v>486</v>
      </c>
      <c r="D11" s="407" t="s">
        <v>487</v>
      </c>
      <c r="E11" s="408">
        <f t="shared" si="2"/>
        <v>1.845</v>
      </c>
      <c r="G11" s="405" t="s">
        <v>228</v>
      </c>
      <c r="H11" s="406">
        <v>1</v>
      </c>
      <c r="I11" s="407" t="s">
        <v>511</v>
      </c>
      <c r="J11" s="407" t="s">
        <v>487</v>
      </c>
      <c r="K11" s="408">
        <f t="shared" si="0"/>
        <v>2.2549999999999999</v>
      </c>
      <c r="M11" s="397" t="s">
        <v>697</v>
      </c>
      <c r="N11" s="398">
        <v>4</v>
      </c>
      <c r="O11" s="399" t="s">
        <v>516</v>
      </c>
      <c r="P11" s="400" t="s">
        <v>516</v>
      </c>
      <c r="Q11" s="401">
        <f>O11*P11</f>
        <v>2.25</v>
      </c>
      <c r="S11" s="409">
        <f t="shared" si="3"/>
        <v>8.1999999999999993</v>
      </c>
      <c r="T11" s="409">
        <f t="shared" si="4"/>
        <v>1.8</v>
      </c>
      <c r="V11" s="339">
        <v>1.95</v>
      </c>
      <c r="W11" s="339">
        <v>3</v>
      </c>
      <c r="X11" s="339"/>
      <c r="Y11" s="339"/>
      <c r="Z11" s="339"/>
      <c r="AA11" s="339">
        <f t="shared" si="5"/>
        <v>5.85</v>
      </c>
      <c r="AC11" s="339">
        <v>1.825</v>
      </c>
      <c r="AD11" s="339">
        <v>2.65</v>
      </c>
      <c r="AE11" s="339"/>
      <c r="AF11" s="339"/>
      <c r="AG11" s="339"/>
      <c r="AH11" s="339">
        <f t="shared" si="6"/>
        <v>4.8362499999999997</v>
      </c>
      <c r="AJ11" s="339"/>
      <c r="AK11" s="339"/>
      <c r="AL11" s="339"/>
      <c r="AM11" s="339"/>
      <c r="AN11" s="339"/>
      <c r="AO11" s="339">
        <f t="shared" si="7"/>
        <v>0</v>
      </c>
      <c r="AQ11" s="339"/>
      <c r="AR11" s="339"/>
      <c r="AS11" s="339"/>
      <c r="AT11" s="339"/>
      <c r="AU11" s="339"/>
      <c r="AV11" s="339">
        <f t="shared" si="8"/>
        <v>0</v>
      </c>
      <c r="AX11" s="339">
        <v>3.7</v>
      </c>
      <c r="AY11" s="339">
        <v>1</v>
      </c>
      <c r="AZ11" s="339"/>
      <c r="BA11" s="339"/>
      <c r="BB11" s="339"/>
      <c r="BC11" s="339">
        <f t="shared" si="9"/>
        <v>3.7</v>
      </c>
      <c r="BE11" s="339">
        <v>17.649999999999999</v>
      </c>
      <c r="BF11" s="339">
        <v>2.6</v>
      </c>
      <c r="BG11" s="339"/>
      <c r="BH11" s="339" t="s">
        <v>737</v>
      </c>
      <c r="BI11" s="339">
        <f>K4+Q5</f>
        <v>6.5749999999999993</v>
      </c>
      <c r="BJ11" s="339">
        <f t="shared" si="10"/>
        <v>39.314999999999998</v>
      </c>
      <c r="BL11" s="339"/>
      <c r="BM11" s="339"/>
      <c r="BN11" s="339"/>
      <c r="BO11" s="339"/>
      <c r="BP11" s="339"/>
      <c r="BQ11" s="339">
        <f t="shared" si="11"/>
        <v>0</v>
      </c>
      <c r="BS11" s="339"/>
      <c r="BT11" s="339"/>
      <c r="BU11" s="339"/>
      <c r="BV11" s="339"/>
      <c r="BW11" s="339"/>
      <c r="BX11" s="339">
        <f t="shared" si="12"/>
        <v>0</v>
      </c>
      <c r="BZ11" s="339"/>
      <c r="CA11" s="339"/>
      <c r="CB11" s="339"/>
      <c r="CC11" s="339"/>
      <c r="CD11" s="339"/>
      <c r="CE11" s="339">
        <f t="shared" si="13"/>
        <v>0</v>
      </c>
      <c r="CG11" s="339"/>
      <c r="CH11" s="339"/>
      <c r="CI11" s="339"/>
      <c r="CJ11" s="339"/>
      <c r="CK11" s="339"/>
      <c r="CL11" s="339">
        <f t="shared" si="14"/>
        <v>0</v>
      </c>
      <c r="CN11" s="339"/>
      <c r="CO11" s="339"/>
      <c r="CP11" s="339"/>
      <c r="CQ11" s="339"/>
      <c r="CR11" s="339"/>
      <c r="CS11" s="339">
        <f t="shared" si="15"/>
        <v>0</v>
      </c>
      <c r="CU11" s="339"/>
      <c r="CV11" s="339"/>
      <c r="CW11" s="339"/>
      <c r="CX11" s="339"/>
      <c r="CY11" s="339"/>
      <c r="CZ11" s="339">
        <f t="shared" si="16"/>
        <v>0</v>
      </c>
      <c r="DA11" s="427" t="s">
        <v>760</v>
      </c>
      <c r="DB11" s="339">
        <v>18.16</v>
      </c>
      <c r="DC11" s="339">
        <v>4.7</v>
      </c>
      <c r="DD11" s="339"/>
      <c r="DE11" s="339" t="s">
        <v>759</v>
      </c>
      <c r="DF11" s="339">
        <f>Q8*2+Q12*2</f>
        <v>20.549999999999997</v>
      </c>
      <c r="DG11" s="339">
        <f t="shared" si="17"/>
        <v>64.802000000000007</v>
      </c>
      <c r="DI11" s="339"/>
      <c r="DJ11" s="339"/>
      <c r="DK11" s="339"/>
      <c r="DL11" s="339"/>
      <c r="DM11" s="339"/>
      <c r="DN11" s="339">
        <f t="shared" si="18"/>
        <v>0</v>
      </c>
    </row>
    <row r="12" spans="1:118">
      <c r="A12" s="405" t="s">
        <v>226</v>
      </c>
      <c r="B12" s="406">
        <v>1</v>
      </c>
      <c r="C12" s="407" t="s">
        <v>525</v>
      </c>
      <c r="D12" s="407" t="s">
        <v>487</v>
      </c>
      <c r="E12" s="408">
        <f t="shared" si="2"/>
        <v>3.8949999999999996</v>
      </c>
      <c r="G12" s="405" t="s">
        <v>229</v>
      </c>
      <c r="H12" s="406">
        <v>2</v>
      </c>
      <c r="I12" s="407" t="s">
        <v>516</v>
      </c>
      <c r="J12" s="407" t="s">
        <v>528</v>
      </c>
      <c r="K12" s="408">
        <f t="shared" si="0"/>
        <v>3.75</v>
      </c>
      <c r="L12" s="427" t="s">
        <v>763</v>
      </c>
      <c r="M12" s="397" t="s">
        <v>691</v>
      </c>
      <c r="N12" s="398">
        <v>2</v>
      </c>
      <c r="O12" s="399" t="s">
        <v>520</v>
      </c>
      <c r="P12" s="400" t="s">
        <v>692</v>
      </c>
      <c r="Q12" s="401">
        <f>O12*P12</f>
        <v>4.7249999999999996</v>
      </c>
      <c r="S12" s="409">
        <f t="shared" si="3"/>
        <v>4.0999999999999996</v>
      </c>
      <c r="T12" s="409">
        <f t="shared" si="4"/>
        <v>1.9</v>
      </c>
      <c r="V12" s="339">
        <v>1.95</v>
      </c>
      <c r="W12" s="339">
        <v>3</v>
      </c>
      <c r="X12" s="339"/>
      <c r="Y12" s="339"/>
      <c r="Z12" s="339"/>
      <c r="AA12" s="339">
        <f t="shared" si="5"/>
        <v>5.85</v>
      </c>
      <c r="AC12" s="339">
        <v>0.9</v>
      </c>
      <c r="AD12" s="339">
        <v>2.65</v>
      </c>
      <c r="AE12" s="339"/>
      <c r="AF12" s="339"/>
      <c r="AG12" s="339"/>
      <c r="AH12" s="339">
        <f t="shared" si="6"/>
        <v>2.3849999999999998</v>
      </c>
      <c r="AJ12" s="339"/>
      <c r="AK12" s="339"/>
      <c r="AL12" s="339"/>
      <c r="AM12" s="339"/>
      <c r="AN12" s="339"/>
      <c r="AO12" s="339">
        <f t="shared" si="7"/>
        <v>0</v>
      </c>
      <c r="AQ12" s="339"/>
      <c r="AR12" s="339"/>
      <c r="AS12" s="339"/>
      <c r="AT12" s="339"/>
      <c r="AU12" s="339"/>
      <c r="AV12" s="339">
        <f t="shared" si="8"/>
        <v>0</v>
      </c>
      <c r="AX12" s="339">
        <f>1.7*4</f>
        <v>6.8</v>
      </c>
      <c r="AY12" s="339">
        <v>1</v>
      </c>
      <c r="AZ12" s="339"/>
      <c r="BA12" s="339"/>
      <c r="BB12" s="339"/>
      <c r="BC12" s="339">
        <f t="shared" si="9"/>
        <v>6.8</v>
      </c>
      <c r="BE12" s="339">
        <v>34.049999999999997</v>
      </c>
      <c r="BF12" s="339">
        <v>2.6</v>
      </c>
      <c r="BG12" s="339"/>
      <c r="BH12" s="339" t="s">
        <v>738</v>
      </c>
      <c r="BI12" s="339">
        <f>K2+Q6+Q7*2+Q10</f>
        <v>31.800000000000004</v>
      </c>
      <c r="BJ12" s="339">
        <f t="shared" si="10"/>
        <v>56.73</v>
      </c>
      <c r="BL12" s="339"/>
      <c r="BM12" s="339"/>
      <c r="BN12" s="339"/>
      <c r="BO12" s="339"/>
      <c r="BP12" s="339"/>
      <c r="BQ12" s="339">
        <f t="shared" si="11"/>
        <v>0</v>
      </c>
      <c r="BS12" s="339"/>
      <c r="BT12" s="339"/>
      <c r="BU12" s="339"/>
      <c r="BV12" s="339"/>
      <c r="BW12" s="339"/>
      <c r="BX12" s="339">
        <f t="shared" si="12"/>
        <v>0</v>
      </c>
      <c r="BZ12" s="339"/>
      <c r="CA12" s="339"/>
      <c r="CB12" s="339"/>
      <c r="CC12" s="339"/>
      <c r="CD12" s="339"/>
      <c r="CE12" s="339">
        <f t="shared" si="13"/>
        <v>0</v>
      </c>
      <c r="CG12" s="339"/>
      <c r="CH12" s="339"/>
      <c r="CI12" s="339"/>
      <c r="CJ12" s="339"/>
      <c r="CK12" s="339"/>
      <c r="CL12" s="339">
        <f t="shared" si="14"/>
        <v>0</v>
      </c>
      <c r="CN12" s="339"/>
      <c r="CO12" s="339"/>
      <c r="CP12" s="339"/>
      <c r="CQ12" s="339"/>
      <c r="CR12" s="339"/>
      <c r="CS12" s="339">
        <f t="shared" si="15"/>
        <v>0</v>
      </c>
      <c r="CU12" s="339"/>
      <c r="CV12" s="339"/>
      <c r="CW12" s="339"/>
      <c r="CX12" s="339"/>
      <c r="CY12" s="339"/>
      <c r="CZ12" s="339">
        <f t="shared" si="16"/>
        <v>0</v>
      </c>
      <c r="DB12" s="339"/>
      <c r="DC12" s="339"/>
      <c r="DD12" s="339"/>
      <c r="DE12" s="339"/>
      <c r="DF12" s="339"/>
      <c r="DG12" s="339">
        <f t="shared" si="17"/>
        <v>0</v>
      </c>
      <c r="DI12" s="339"/>
      <c r="DJ12" s="339"/>
      <c r="DK12" s="339"/>
      <c r="DL12" s="339"/>
      <c r="DM12" s="339"/>
      <c r="DN12" s="339">
        <f t="shared" si="18"/>
        <v>0</v>
      </c>
    </row>
    <row r="13" spans="1:118">
      <c r="A13" s="405" t="s">
        <v>228</v>
      </c>
      <c r="B13" s="406">
        <v>1</v>
      </c>
      <c r="C13" s="407" t="s">
        <v>511</v>
      </c>
      <c r="D13" s="407" t="s">
        <v>487</v>
      </c>
      <c r="E13" s="408">
        <f t="shared" si="2"/>
        <v>2.2549999999999999</v>
      </c>
      <c r="G13" s="246" t="s">
        <v>230</v>
      </c>
      <c r="H13" s="398">
        <v>1</v>
      </c>
      <c r="I13" s="399" t="s">
        <v>674</v>
      </c>
      <c r="J13" s="400" t="s">
        <v>528</v>
      </c>
      <c r="K13" s="401">
        <f t="shared" si="0"/>
        <v>8.625</v>
      </c>
      <c r="L13" s="427" t="s">
        <v>764</v>
      </c>
      <c r="M13" s="397" t="s">
        <v>693</v>
      </c>
      <c r="N13" s="398">
        <v>2</v>
      </c>
      <c r="O13" s="399" t="s">
        <v>674</v>
      </c>
      <c r="P13" s="400" t="s">
        <v>516</v>
      </c>
      <c r="Q13" s="401">
        <f>O13*P13</f>
        <v>5.1750000000000007</v>
      </c>
      <c r="S13" s="409">
        <f t="shared" si="3"/>
        <v>4.0999999999999996</v>
      </c>
      <c r="T13" s="409">
        <f t="shared" si="4"/>
        <v>1.1000000000000001</v>
      </c>
      <c r="V13" s="339">
        <v>3.1</v>
      </c>
      <c r="W13" s="339">
        <v>3</v>
      </c>
      <c r="X13" s="339"/>
      <c r="Y13" s="339"/>
      <c r="Z13" s="339"/>
      <c r="AA13" s="339">
        <f t="shared" si="5"/>
        <v>9.3000000000000007</v>
      </c>
      <c r="AC13" s="339">
        <v>3.2</v>
      </c>
      <c r="AD13" s="339">
        <v>2.65</v>
      </c>
      <c r="AE13" s="339"/>
      <c r="AF13" s="339"/>
      <c r="AG13" s="339"/>
      <c r="AH13" s="339">
        <f t="shared" si="6"/>
        <v>8.48</v>
      </c>
      <c r="AJ13" s="339"/>
      <c r="AK13" s="339"/>
      <c r="AL13" s="339"/>
      <c r="AM13" s="339"/>
      <c r="AN13" s="339"/>
      <c r="AO13" s="339">
        <f t="shared" si="7"/>
        <v>0</v>
      </c>
      <c r="AQ13" s="339"/>
      <c r="AR13" s="339"/>
      <c r="AS13" s="339"/>
      <c r="AT13" s="339"/>
      <c r="AU13" s="339"/>
      <c r="AV13" s="339">
        <f t="shared" si="8"/>
        <v>0</v>
      </c>
      <c r="AX13" s="339">
        <f>1.75*2</f>
        <v>3.5</v>
      </c>
      <c r="AY13" s="339">
        <v>1</v>
      </c>
      <c r="AZ13" s="339"/>
      <c r="BA13" s="339"/>
      <c r="BB13" s="339"/>
      <c r="BC13" s="339">
        <f t="shared" si="9"/>
        <v>3.5</v>
      </c>
      <c r="BE13" s="339">
        <v>23.45</v>
      </c>
      <c r="BF13" s="339">
        <v>2.6</v>
      </c>
      <c r="BG13" s="339"/>
      <c r="BH13" s="339" t="s">
        <v>713</v>
      </c>
      <c r="BI13" s="339">
        <f>K2</f>
        <v>10.9375</v>
      </c>
      <c r="BJ13" s="339">
        <f t="shared" si="10"/>
        <v>50.032499999999999</v>
      </c>
      <c r="BL13" s="339"/>
      <c r="BM13" s="339"/>
      <c r="BN13" s="339"/>
      <c r="BO13" s="339"/>
      <c r="BP13" s="339"/>
      <c r="BQ13" s="339">
        <f t="shared" si="11"/>
        <v>0</v>
      </c>
      <c r="BS13" s="339"/>
      <c r="BT13" s="339"/>
      <c r="BU13" s="339"/>
      <c r="BV13" s="339"/>
      <c r="BW13" s="339"/>
      <c r="BX13" s="339">
        <f t="shared" si="12"/>
        <v>0</v>
      </c>
      <c r="BZ13" s="339"/>
      <c r="CA13" s="339"/>
      <c r="CB13" s="339"/>
      <c r="CC13" s="339"/>
      <c r="CD13" s="339"/>
      <c r="CE13" s="339">
        <f t="shared" si="13"/>
        <v>0</v>
      </c>
      <c r="CG13" s="339"/>
      <c r="CH13" s="339"/>
      <c r="CI13" s="339"/>
      <c r="CJ13" s="339"/>
      <c r="CK13" s="339"/>
      <c r="CL13" s="339">
        <f t="shared" si="14"/>
        <v>0</v>
      </c>
      <c r="CN13" s="339"/>
      <c r="CO13" s="339"/>
      <c r="CP13" s="339"/>
      <c r="CQ13" s="339"/>
      <c r="CR13" s="339"/>
      <c r="CS13" s="339">
        <f t="shared" si="15"/>
        <v>0</v>
      </c>
      <c r="CU13" s="339"/>
      <c r="CV13" s="339"/>
      <c r="CW13" s="339"/>
      <c r="CX13" s="339"/>
      <c r="CY13" s="339"/>
      <c r="CZ13" s="339">
        <f t="shared" si="16"/>
        <v>0</v>
      </c>
      <c r="DB13" s="339"/>
      <c r="DC13" s="339"/>
      <c r="DD13" s="339"/>
      <c r="DE13" s="339"/>
      <c r="DF13" s="339"/>
      <c r="DG13" s="339">
        <f t="shared" si="17"/>
        <v>0</v>
      </c>
      <c r="DI13" s="339"/>
      <c r="DJ13" s="339"/>
      <c r="DK13" s="339"/>
      <c r="DL13" s="339"/>
      <c r="DM13" s="339"/>
      <c r="DN13" s="339">
        <f t="shared" si="18"/>
        <v>0</v>
      </c>
    </row>
    <row r="14" spans="1:118">
      <c r="A14" s="405" t="s">
        <v>229</v>
      </c>
      <c r="B14" s="406">
        <v>2</v>
      </c>
      <c r="C14" s="407" t="s">
        <v>516</v>
      </c>
      <c r="D14" s="407" t="s">
        <v>528</v>
      </c>
      <c r="E14" s="408">
        <f t="shared" si="2"/>
        <v>3.75</v>
      </c>
      <c r="G14" s="423" t="s">
        <v>232</v>
      </c>
      <c r="H14" s="398">
        <v>1</v>
      </c>
      <c r="I14" s="399" t="s">
        <v>507</v>
      </c>
      <c r="J14" s="400" t="s">
        <v>676</v>
      </c>
      <c r="K14" s="413">
        <f t="shared" si="0"/>
        <v>7.7700000000000005</v>
      </c>
      <c r="S14" s="409">
        <f t="shared" si="3"/>
        <v>10</v>
      </c>
      <c r="T14" s="409">
        <f t="shared" si="4"/>
        <v>3</v>
      </c>
      <c r="V14" s="339">
        <v>3.1</v>
      </c>
      <c r="W14" s="339">
        <v>3</v>
      </c>
      <c r="X14" s="339"/>
      <c r="Y14" s="339"/>
      <c r="Z14" s="339"/>
      <c r="AA14" s="339">
        <f t="shared" si="5"/>
        <v>9.3000000000000007</v>
      </c>
      <c r="AC14" s="339">
        <v>3.2</v>
      </c>
      <c r="AD14" s="339">
        <v>2.65</v>
      </c>
      <c r="AE14" s="339"/>
      <c r="AF14" s="339"/>
      <c r="AG14" s="339"/>
      <c r="AH14" s="339">
        <f t="shared" si="6"/>
        <v>8.48</v>
      </c>
      <c r="AJ14" s="339"/>
      <c r="AK14" s="339"/>
      <c r="AL14" s="339"/>
      <c r="AM14" s="339"/>
      <c r="AN14" s="339"/>
      <c r="AO14" s="339">
        <f t="shared" si="7"/>
        <v>0</v>
      </c>
      <c r="AQ14" s="339"/>
      <c r="AR14" s="339"/>
      <c r="AS14" s="339"/>
      <c r="AT14" s="339"/>
      <c r="AU14" s="339"/>
      <c r="AV14" s="339">
        <f t="shared" si="8"/>
        <v>0</v>
      </c>
      <c r="AX14" s="339">
        <v>4.2</v>
      </c>
      <c r="AY14" s="339">
        <v>3.15</v>
      </c>
      <c r="AZ14" s="339"/>
      <c r="BA14" s="339" t="s">
        <v>715</v>
      </c>
      <c r="BB14" s="339">
        <f>K16</f>
        <v>7.9799999999999995</v>
      </c>
      <c r="BC14" s="339">
        <f t="shared" si="9"/>
        <v>5.2500000000000009</v>
      </c>
      <c r="BE14" s="339">
        <v>15.37</v>
      </c>
      <c r="BF14" s="339">
        <v>3.3</v>
      </c>
      <c r="BG14" s="339"/>
      <c r="BH14" s="339" t="s">
        <v>711</v>
      </c>
      <c r="BI14" s="339">
        <f>Q6</f>
        <v>7.7000000000000011</v>
      </c>
      <c r="BJ14" s="339">
        <f t="shared" si="10"/>
        <v>43.020999999999994</v>
      </c>
      <c r="BL14" s="339"/>
      <c r="BM14" s="339"/>
      <c r="BN14" s="339"/>
      <c r="BO14" s="339"/>
      <c r="BP14" s="339"/>
      <c r="BQ14" s="339">
        <f t="shared" si="11"/>
        <v>0</v>
      </c>
      <c r="BS14" s="339"/>
      <c r="BT14" s="339"/>
      <c r="BU14" s="339"/>
      <c r="BV14" s="339"/>
      <c r="BW14" s="339"/>
      <c r="BX14" s="339">
        <f t="shared" si="12"/>
        <v>0</v>
      </c>
      <c r="BZ14" s="339"/>
      <c r="CA14" s="339"/>
      <c r="CB14" s="339"/>
      <c r="CC14" s="339"/>
      <c r="CD14" s="339"/>
      <c r="CE14" s="339">
        <f t="shared" si="13"/>
        <v>0</v>
      </c>
      <c r="CG14" s="339"/>
      <c r="CH14" s="339"/>
      <c r="CI14" s="339"/>
      <c r="CJ14" s="339"/>
      <c r="CK14" s="339"/>
      <c r="CL14" s="339">
        <f t="shared" si="14"/>
        <v>0</v>
      </c>
      <c r="CN14" s="339"/>
      <c r="CO14" s="339"/>
      <c r="CP14" s="339"/>
      <c r="CQ14" s="339"/>
      <c r="CR14" s="339"/>
      <c r="CS14" s="339">
        <f t="shared" si="15"/>
        <v>0</v>
      </c>
      <c r="CU14" s="339"/>
      <c r="CV14" s="339"/>
      <c r="CW14" s="339"/>
      <c r="CX14" s="339"/>
      <c r="CY14" s="339"/>
      <c r="CZ14" s="339">
        <f t="shared" si="16"/>
        <v>0</v>
      </c>
      <c r="DB14" s="339"/>
      <c r="DC14" s="339"/>
      <c r="DD14" s="339"/>
      <c r="DE14" s="339"/>
      <c r="DF14" s="339"/>
      <c r="DG14" s="339">
        <f t="shared" si="17"/>
        <v>0</v>
      </c>
      <c r="DI14" s="339"/>
      <c r="DJ14" s="339"/>
      <c r="DK14" s="339"/>
      <c r="DL14" s="339"/>
      <c r="DM14" s="339"/>
      <c r="DN14" s="339">
        <f t="shared" si="18"/>
        <v>0</v>
      </c>
    </row>
    <row r="15" spans="1:118">
      <c r="A15" s="246" t="s">
        <v>230</v>
      </c>
      <c r="B15" s="398">
        <v>1</v>
      </c>
      <c r="C15" s="399" t="s">
        <v>674</v>
      </c>
      <c r="D15" s="400" t="s">
        <v>528</v>
      </c>
      <c r="E15" s="401">
        <f t="shared" ref="E15:E19" si="19">C15*D15</f>
        <v>8.625</v>
      </c>
      <c r="G15" s="423" t="s">
        <v>234</v>
      </c>
      <c r="H15" s="406">
        <v>2</v>
      </c>
      <c r="I15" s="414" t="s">
        <v>486</v>
      </c>
      <c r="J15" s="415" t="s">
        <v>679</v>
      </c>
      <c r="K15" s="416">
        <f>I15*J15</f>
        <v>1.665</v>
      </c>
      <c r="S15" s="409">
        <f t="shared" si="3"/>
        <v>5</v>
      </c>
      <c r="T15" s="409">
        <f t="shared" si="4"/>
        <v>3.45</v>
      </c>
      <c r="V15" s="339">
        <v>2.7</v>
      </c>
      <c r="W15" s="339">
        <v>3</v>
      </c>
      <c r="X15" s="339"/>
      <c r="Y15" s="339" t="s">
        <v>704</v>
      </c>
      <c r="Z15" s="339">
        <f>K17</f>
        <v>5.6700000000000008</v>
      </c>
      <c r="AA15" s="339">
        <f t="shared" si="5"/>
        <v>2.4300000000000006</v>
      </c>
      <c r="AC15" s="339">
        <v>3.2749999999999999</v>
      </c>
      <c r="AD15" s="339">
        <v>2.65</v>
      </c>
      <c r="AE15" s="339"/>
      <c r="AF15" s="339" t="s">
        <v>716</v>
      </c>
      <c r="AG15" s="339">
        <f>K3</f>
        <v>2.25</v>
      </c>
      <c r="AH15" s="339">
        <f t="shared" si="6"/>
        <v>6.4287499999999991</v>
      </c>
      <c r="AJ15" s="339"/>
      <c r="AK15" s="339"/>
      <c r="AL15" s="339"/>
      <c r="AM15" s="339"/>
      <c r="AN15" s="339"/>
      <c r="AO15" s="339">
        <f t="shared" si="7"/>
        <v>0</v>
      </c>
      <c r="AQ15" s="339"/>
      <c r="AR15" s="339"/>
      <c r="AS15" s="339"/>
      <c r="AT15" s="339"/>
      <c r="AU15" s="339"/>
      <c r="AV15" s="339">
        <f t="shared" si="8"/>
        <v>0</v>
      </c>
      <c r="AX15" s="339">
        <v>3.8</v>
      </c>
      <c r="AY15" s="339">
        <v>3.15</v>
      </c>
      <c r="AZ15" s="339"/>
      <c r="BA15" s="339" t="s">
        <v>715</v>
      </c>
      <c r="BB15" s="339">
        <f>K16</f>
        <v>7.9799999999999995</v>
      </c>
      <c r="BC15" s="339">
        <f t="shared" si="9"/>
        <v>3.9899999999999993</v>
      </c>
      <c r="BE15" s="424">
        <v>30.524999999999999</v>
      </c>
      <c r="BF15" s="424">
        <v>3.3</v>
      </c>
      <c r="BG15" s="424"/>
      <c r="BH15" s="424" t="s">
        <v>739</v>
      </c>
      <c r="BI15" s="424">
        <f>K1+Q1</f>
        <v>63.79</v>
      </c>
      <c r="BJ15" s="339">
        <f t="shared" si="10"/>
        <v>36.942499999999988</v>
      </c>
      <c r="BL15" s="339"/>
      <c r="BM15" s="339"/>
      <c r="BN15" s="339"/>
      <c r="BO15" s="339"/>
      <c r="BP15" s="339"/>
      <c r="BQ15" s="339">
        <f t="shared" si="11"/>
        <v>0</v>
      </c>
      <c r="BS15" s="339"/>
      <c r="BT15" s="339"/>
      <c r="BU15" s="339"/>
      <c r="BV15" s="339"/>
      <c r="BW15" s="339"/>
      <c r="BX15" s="339">
        <f t="shared" si="12"/>
        <v>0</v>
      </c>
      <c r="BZ15" s="339"/>
      <c r="CA15" s="339"/>
      <c r="CB15" s="339"/>
      <c r="CC15" s="339"/>
      <c r="CD15" s="339"/>
      <c r="CE15" s="339">
        <f t="shared" si="13"/>
        <v>0</v>
      </c>
      <c r="CG15" s="339"/>
      <c r="CH15" s="339"/>
      <c r="CI15" s="339"/>
      <c r="CJ15" s="339"/>
      <c r="CK15" s="339"/>
      <c r="CL15" s="339">
        <f t="shared" si="14"/>
        <v>0</v>
      </c>
      <c r="CN15" s="339"/>
      <c r="CO15" s="339"/>
      <c r="CP15" s="339"/>
      <c r="CQ15" s="339"/>
      <c r="CR15" s="339"/>
      <c r="CS15" s="339">
        <f t="shared" si="15"/>
        <v>0</v>
      </c>
      <c r="CU15" s="339"/>
      <c r="CV15" s="339"/>
      <c r="CW15" s="339"/>
      <c r="CX15" s="339"/>
      <c r="CY15" s="339"/>
      <c r="CZ15" s="339">
        <f t="shared" si="16"/>
        <v>0</v>
      </c>
      <c r="DB15" s="339"/>
      <c r="DC15" s="339"/>
      <c r="DD15" s="339"/>
      <c r="DE15" s="339"/>
      <c r="DF15" s="339"/>
      <c r="DG15" s="339">
        <f t="shared" si="17"/>
        <v>0</v>
      </c>
      <c r="DI15" s="339"/>
      <c r="DJ15" s="339"/>
      <c r="DK15" s="339"/>
      <c r="DL15" s="339"/>
      <c r="DM15" s="339"/>
      <c r="DN15" s="339">
        <f t="shared" si="18"/>
        <v>0</v>
      </c>
    </row>
    <row r="16" spans="1:118">
      <c r="A16" s="423" t="s">
        <v>232</v>
      </c>
      <c r="B16" s="398">
        <v>1</v>
      </c>
      <c r="C16" s="399" t="s">
        <v>507</v>
      </c>
      <c r="D16" s="400" t="s">
        <v>676</v>
      </c>
      <c r="E16" s="413">
        <f t="shared" si="19"/>
        <v>7.7700000000000005</v>
      </c>
      <c r="F16" s="427" t="s">
        <v>761</v>
      </c>
      <c r="G16" s="423" t="s">
        <v>695</v>
      </c>
      <c r="H16" s="398">
        <v>1</v>
      </c>
      <c r="I16" s="399" t="s">
        <v>677</v>
      </c>
      <c r="J16" s="400" t="s">
        <v>676</v>
      </c>
      <c r="K16" s="413">
        <f>I16*J16</f>
        <v>7.9799999999999995</v>
      </c>
      <c r="S16" s="409">
        <f t="shared" si="3"/>
        <v>4.2</v>
      </c>
      <c r="T16" s="409">
        <f t="shared" si="4"/>
        <v>3.7</v>
      </c>
      <c r="V16" s="339">
        <v>0.7</v>
      </c>
      <c r="W16" s="339">
        <v>2.85</v>
      </c>
      <c r="X16" s="339"/>
      <c r="Y16" s="339"/>
      <c r="Z16" s="339"/>
      <c r="AA16" s="339">
        <f t="shared" si="5"/>
        <v>1.9949999999999999</v>
      </c>
      <c r="AC16" s="339">
        <v>0.4</v>
      </c>
      <c r="AD16" s="339">
        <v>2.65</v>
      </c>
      <c r="AE16" s="339"/>
      <c r="AF16" s="339"/>
      <c r="AG16" s="339"/>
      <c r="AH16" s="339">
        <f t="shared" si="6"/>
        <v>1.06</v>
      </c>
      <c r="AJ16" s="339"/>
      <c r="AK16" s="339"/>
      <c r="AL16" s="339"/>
      <c r="AM16" s="339"/>
      <c r="AN16" s="339"/>
      <c r="AO16" s="339">
        <f t="shared" si="7"/>
        <v>0</v>
      </c>
      <c r="AQ16" s="339"/>
      <c r="AR16" s="339"/>
      <c r="AS16" s="339"/>
      <c r="AT16" s="339"/>
      <c r="AU16" s="339"/>
      <c r="AV16" s="339">
        <f t="shared" si="8"/>
        <v>0</v>
      </c>
      <c r="AX16" s="339">
        <f>1.75*2</f>
        <v>3.5</v>
      </c>
      <c r="AY16" s="339">
        <v>1</v>
      </c>
      <c r="AZ16" s="339"/>
      <c r="BA16" s="339"/>
      <c r="BB16" s="339"/>
      <c r="BC16" s="339">
        <f t="shared" si="9"/>
        <v>3.5</v>
      </c>
      <c r="BE16" s="339"/>
      <c r="BF16" s="339"/>
      <c r="BG16" s="339"/>
      <c r="BH16" s="339"/>
      <c r="BI16" s="339"/>
      <c r="BJ16" s="339">
        <f t="shared" si="10"/>
        <v>0</v>
      </c>
      <c r="BL16" s="339"/>
      <c r="BM16" s="339"/>
      <c r="BN16" s="339"/>
      <c r="BO16" s="339"/>
      <c r="BP16" s="339"/>
      <c r="BQ16" s="339">
        <f t="shared" si="11"/>
        <v>0</v>
      </c>
      <c r="BS16" s="339"/>
      <c r="BT16" s="339"/>
      <c r="BU16" s="339"/>
      <c r="BV16" s="339"/>
      <c r="BW16" s="339"/>
      <c r="BX16" s="339">
        <f t="shared" si="12"/>
        <v>0</v>
      </c>
      <c r="BZ16" s="339"/>
      <c r="CA16" s="339"/>
      <c r="CB16" s="339"/>
      <c r="CC16" s="339"/>
      <c r="CD16" s="339"/>
      <c r="CE16" s="339">
        <f t="shared" si="13"/>
        <v>0</v>
      </c>
      <c r="CG16" s="339"/>
      <c r="CH16" s="339"/>
      <c r="CI16" s="339"/>
      <c r="CJ16" s="339"/>
      <c r="CK16" s="339"/>
      <c r="CL16" s="339">
        <f t="shared" si="14"/>
        <v>0</v>
      </c>
      <c r="CN16" s="339"/>
      <c r="CO16" s="339"/>
      <c r="CP16" s="339"/>
      <c r="CQ16" s="339"/>
      <c r="CR16" s="339"/>
      <c r="CS16" s="339">
        <f t="shared" si="15"/>
        <v>0</v>
      </c>
      <c r="CU16" s="339"/>
      <c r="CV16" s="339"/>
      <c r="CW16" s="339"/>
      <c r="CX16" s="339"/>
      <c r="CY16" s="339"/>
      <c r="CZ16" s="339">
        <f t="shared" si="16"/>
        <v>0</v>
      </c>
      <c r="DB16" s="339"/>
      <c r="DC16" s="339"/>
      <c r="DD16" s="339"/>
      <c r="DE16" s="339"/>
      <c r="DF16" s="339"/>
      <c r="DG16" s="339">
        <f t="shared" si="17"/>
        <v>0</v>
      </c>
      <c r="DI16" s="339"/>
      <c r="DJ16" s="339"/>
      <c r="DK16" s="339"/>
      <c r="DL16" s="339"/>
      <c r="DM16" s="339"/>
      <c r="DN16" s="339">
        <f t="shared" si="18"/>
        <v>0</v>
      </c>
    </row>
    <row r="17" spans="1:118">
      <c r="A17" s="423" t="s">
        <v>695</v>
      </c>
      <c r="B17" s="398">
        <v>1</v>
      </c>
      <c r="C17" s="399" t="s">
        <v>677</v>
      </c>
      <c r="D17" s="400" t="s">
        <v>676</v>
      </c>
      <c r="E17" s="413">
        <f t="shared" si="19"/>
        <v>7.9799999999999995</v>
      </c>
      <c r="F17" s="427" t="s">
        <v>762</v>
      </c>
      <c r="G17" s="423" t="s">
        <v>696</v>
      </c>
      <c r="H17" s="398">
        <v>1</v>
      </c>
      <c r="I17" s="399" t="s">
        <v>678</v>
      </c>
      <c r="J17" s="400" t="s">
        <v>676</v>
      </c>
      <c r="K17" s="413">
        <f>I17*J17</f>
        <v>5.6700000000000008</v>
      </c>
      <c r="S17" s="409">
        <f t="shared" si="3"/>
        <v>4.2</v>
      </c>
      <c r="T17" s="409">
        <f t="shared" si="4"/>
        <v>3.8</v>
      </c>
      <c r="V17" s="339">
        <v>0.7</v>
      </c>
      <c r="W17" s="339">
        <v>2.85</v>
      </c>
      <c r="X17" s="339"/>
      <c r="Y17" s="339"/>
      <c r="Z17" s="339"/>
      <c r="AA17" s="339">
        <f t="shared" si="5"/>
        <v>1.9949999999999999</v>
      </c>
      <c r="AC17" s="339">
        <v>3.7</v>
      </c>
      <c r="AD17" s="339">
        <v>2.65</v>
      </c>
      <c r="AE17" s="339"/>
      <c r="AF17" s="339"/>
      <c r="AG17" s="339"/>
      <c r="AH17" s="339">
        <f t="shared" si="6"/>
        <v>9.8049999999999997</v>
      </c>
      <c r="AJ17" s="339"/>
      <c r="AK17" s="339"/>
      <c r="AL17" s="339"/>
      <c r="AM17" s="339"/>
      <c r="AN17" s="339"/>
      <c r="AO17" s="339">
        <f t="shared" si="7"/>
        <v>0</v>
      </c>
      <c r="AQ17" s="339"/>
      <c r="AR17" s="339"/>
      <c r="AS17" s="339"/>
      <c r="AT17" s="339"/>
      <c r="AU17" s="339"/>
      <c r="AV17" s="339">
        <f t="shared" si="8"/>
        <v>0</v>
      </c>
      <c r="AX17" s="339">
        <v>26.024999999999999</v>
      </c>
      <c r="AY17" s="339">
        <v>3.15</v>
      </c>
      <c r="AZ17" s="339"/>
      <c r="BA17" s="339" t="s">
        <v>731</v>
      </c>
      <c r="BB17" s="339">
        <f>K1+Q6+K14+Q6+Q7*2</f>
        <v>39.020000000000003</v>
      </c>
      <c r="BC17" s="339">
        <f t="shared" si="9"/>
        <v>42.958749999999988</v>
      </c>
      <c r="BE17" s="339"/>
      <c r="BF17" s="339"/>
      <c r="BG17" s="339"/>
      <c r="BH17" s="339"/>
      <c r="BI17" s="339"/>
      <c r="BJ17" s="339">
        <f t="shared" si="10"/>
        <v>0</v>
      </c>
      <c r="BL17" s="339"/>
      <c r="BM17" s="339"/>
      <c r="BN17" s="339"/>
      <c r="BO17" s="339"/>
      <c r="BP17" s="339"/>
      <c r="BQ17" s="339">
        <f t="shared" si="11"/>
        <v>0</v>
      </c>
      <c r="BS17" s="339"/>
      <c r="BT17" s="339"/>
      <c r="BU17" s="339"/>
      <c r="BV17" s="339"/>
      <c r="BW17" s="339"/>
      <c r="BX17" s="339">
        <f t="shared" si="12"/>
        <v>0</v>
      </c>
      <c r="BZ17" s="339"/>
      <c r="CA17" s="339"/>
      <c r="CB17" s="339"/>
      <c r="CC17" s="339"/>
      <c r="CD17" s="339"/>
      <c r="CE17" s="339">
        <f t="shared" si="13"/>
        <v>0</v>
      </c>
      <c r="CG17" s="339"/>
      <c r="CH17" s="339"/>
      <c r="CI17" s="339"/>
      <c r="CJ17" s="339"/>
      <c r="CK17" s="339"/>
      <c r="CL17" s="339">
        <f t="shared" si="14"/>
        <v>0</v>
      </c>
      <c r="CN17" s="339"/>
      <c r="CO17" s="339"/>
      <c r="CP17" s="339"/>
      <c r="CQ17" s="339"/>
      <c r="CR17" s="339"/>
      <c r="CS17" s="339">
        <f t="shared" si="15"/>
        <v>0</v>
      </c>
      <c r="CU17" s="339"/>
      <c r="CV17" s="339"/>
      <c r="CW17" s="339"/>
      <c r="CX17" s="339"/>
      <c r="CY17" s="339"/>
      <c r="CZ17" s="339">
        <f t="shared" si="16"/>
        <v>0</v>
      </c>
      <c r="DB17" s="339"/>
      <c r="DC17" s="339"/>
      <c r="DD17" s="339"/>
      <c r="DE17" s="339"/>
      <c r="DF17" s="339"/>
      <c r="DG17" s="339">
        <f t="shared" si="17"/>
        <v>0</v>
      </c>
      <c r="DI17" s="339"/>
      <c r="DJ17" s="339"/>
      <c r="DK17" s="339"/>
      <c r="DL17" s="339"/>
      <c r="DM17" s="339"/>
      <c r="DN17" s="339">
        <f t="shared" si="18"/>
        <v>0</v>
      </c>
    </row>
    <row r="18" spans="1:118">
      <c r="A18" s="423" t="s">
        <v>696</v>
      </c>
      <c r="B18" s="398">
        <v>1</v>
      </c>
      <c r="C18" s="399" t="s">
        <v>678</v>
      </c>
      <c r="D18" s="400" t="s">
        <v>676</v>
      </c>
      <c r="E18" s="413">
        <f t="shared" si="19"/>
        <v>5.6700000000000008</v>
      </c>
      <c r="S18" s="409">
        <f t="shared" si="3"/>
        <v>4.2</v>
      </c>
      <c r="T18" s="409">
        <f t="shared" si="4"/>
        <v>2.7</v>
      </c>
      <c r="V18" s="339">
        <v>2.2000000000000002</v>
      </c>
      <c r="W18" s="339">
        <v>3</v>
      </c>
      <c r="X18" s="339"/>
      <c r="Y18" s="339" t="s">
        <v>705</v>
      </c>
      <c r="Z18" s="339">
        <f>Q11</f>
        <v>2.25</v>
      </c>
      <c r="AA18" s="339">
        <f t="shared" si="5"/>
        <v>4.3500000000000005</v>
      </c>
      <c r="AC18" s="339">
        <v>3.95</v>
      </c>
      <c r="AD18" s="339">
        <v>2.65</v>
      </c>
      <c r="AE18" s="339"/>
      <c r="AF18" s="339" t="s">
        <v>717</v>
      </c>
      <c r="AG18" s="339">
        <f>K15</f>
        <v>1.665</v>
      </c>
      <c r="AH18" s="339">
        <f t="shared" si="6"/>
        <v>8.8024999999999984</v>
      </c>
      <c r="AJ18" s="339"/>
      <c r="AK18" s="339"/>
      <c r="AL18" s="339"/>
      <c r="AM18" s="339"/>
      <c r="AN18" s="339"/>
      <c r="AO18" s="339">
        <f t="shared" si="7"/>
        <v>0</v>
      </c>
      <c r="AQ18" s="339"/>
      <c r="AR18" s="339"/>
      <c r="AS18" s="339"/>
      <c r="AT18" s="339"/>
      <c r="AU18" s="339"/>
      <c r="AV18" s="339">
        <f t="shared" si="8"/>
        <v>0</v>
      </c>
      <c r="AX18" s="339">
        <v>7.4249999999999998</v>
      </c>
      <c r="AY18" s="339">
        <v>3.15</v>
      </c>
      <c r="AZ18" s="339"/>
      <c r="BA18" s="339" t="s">
        <v>709</v>
      </c>
      <c r="BB18" s="339">
        <f>Q10</f>
        <v>6.5625</v>
      </c>
      <c r="BC18" s="339">
        <f t="shared" si="9"/>
        <v>16.826249999999998</v>
      </c>
      <c r="BE18" s="339"/>
      <c r="BF18" s="339"/>
      <c r="BG18" s="339"/>
      <c r="BH18" s="339"/>
      <c r="BI18" s="339"/>
      <c r="BJ18" s="339">
        <f t="shared" si="10"/>
        <v>0</v>
      </c>
      <c r="BL18" s="339"/>
      <c r="BM18" s="339"/>
      <c r="BN18" s="339"/>
      <c r="BO18" s="339"/>
      <c r="BP18" s="339"/>
      <c r="BQ18" s="339">
        <f t="shared" si="11"/>
        <v>0</v>
      </c>
      <c r="BS18" s="339"/>
      <c r="BT18" s="339"/>
      <c r="BU18" s="339"/>
      <c r="BV18" s="339"/>
      <c r="BW18" s="339"/>
      <c r="BX18" s="339">
        <f t="shared" si="12"/>
        <v>0</v>
      </c>
      <c r="BZ18" s="339"/>
      <c r="CA18" s="339"/>
      <c r="CB18" s="339"/>
      <c r="CC18" s="339"/>
      <c r="CD18" s="339"/>
      <c r="CE18" s="339">
        <f t="shared" si="13"/>
        <v>0</v>
      </c>
      <c r="CG18" s="339"/>
      <c r="CH18" s="339"/>
      <c r="CI18" s="339"/>
      <c r="CJ18" s="339"/>
      <c r="CK18" s="339"/>
      <c r="CL18" s="339">
        <f t="shared" si="14"/>
        <v>0</v>
      </c>
      <c r="CN18" s="339"/>
      <c r="CO18" s="339"/>
      <c r="CP18" s="339"/>
      <c r="CQ18" s="339"/>
      <c r="CR18" s="339"/>
      <c r="CS18" s="339">
        <f t="shared" si="15"/>
        <v>0</v>
      </c>
      <c r="CU18" s="339"/>
      <c r="CV18" s="339"/>
      <c r="CW18" s="339"/>
      <c r="CX18" s="339"/>
      <c r="CY18" s="339"/>
      <c r="CZ18" s="339">
        <f t="shared" si="16"/>
        <v>0</v>
      </c>
      <c r="DB18" s="339"/>
      <c r="DC18" s="339"/>
      <c r="DD18" s="339"/>
      <c r="DE18" s="339"/>
      <c r="DF18" s="339"/>
      <c r="DG18" s="339">
        <f t="shared" si="17"/>
        <v>0</v>
      </c>
      <c r="DI18" s="339"/>
      <c r="DJ18" s="339"/>
      <c r="DK18" s="339"/>
      <c r="DL18" s="339"/>
      <c r="DM18" s="339"/>
      <c r="DN18" s="339">
        <f t="shared" si="18"/>
        <v>0</v>
      </c>
    </row>
    <row r="19" spans="1:118">
      <c r="A19" s="423" t="s">
        <v>234</v>
      </c>
      <c r="B19" s="406">
        <v>2</v>
      </c>
      <c r="C19" s="414" t="s">
        <v>486</v>
      </c>
      <c r="D19" s="415" t="s">
        <v>679</v>
      </c>
      <c r="E19" s="416">
        <f t="shared" si="19"/>
        <v>1.665</v>
      </c>
      <c r="S19" s="409">
        <f t="shared" si="3"/>
        <v>7.4</v>
      </c>
      <c r="T19" s="409">
        <f>B19*C19*2</f>
        <v>3.6</v>
      </c>
      <c r="V19" s="339">
        <v>2.7</v>
      </c>
      <c r="W19" s="339">
        <v>3.15</v>
      </c>
      <c r="X19" s="339"/>
      <c r="Y19" s="339"/>
      <c r="Z19" s="339"/>
      <c r="AA19" s="339">
        <f t="shared" si="5"/>
        <v>8.5050000000000008</v>
      </c>
      <c r="AC19" s="339">
        <v>3.2</v>
      </c>
      <c r="AD19" s="339">
        <v>2.65</v>
      </c>
      <c r="AE19" s="339"/>
      <c r="AF19" s="339" t="s">
        <v>718</v>
      </c>
      <c r="AG19" s="339">
        <f>Q4</f>
        <v>1</v>
      </c>
      <c r="AH19" s="339">
        <f t="shared" si="6"/>
        <v>7.48</v>
      </c>
      <c r="AJ19" s="339"/>
      <c r="AK19" s="339"/>
      <c r="AL19" s="339"/>
      <c r="AM19" s="339"/>
      <c r="AN19" s="339"/>
      <c r="AO19" s="339">
        <f t="shared" si="7"/>
        <v>0</v>
      </c>
      <c r="AQ19" s="339"/>
      <c r="AR19" s="339"/>
      <c r="AS19" s="339"/>
      <c r="AT19" s="339"/>
      <c r="AU19" s="339"/>
      <c r="AV19" s="339">
        <f t="shared" si="8"/>
        <v>0</v>
      </c>
      <c r="AX19" s="339">
        <v>33.15</v>
      </c>
      <c r="AY19" s="339">
        <v>3.15</v>
      </c>
      <c r="AZ19" s="339"/>
      <c r="BA19" s="339" t="s">
        <v>732</v>
      </c>
      <c r="BB19" s="339">
        <f>K2+K14+K2</f>
        <v>29.645</v>
      </c>
      <c r="BC19" s="339">
        <f t="shared" si="9"/>
        <v>74.777500000000003</v>
      </c>
      <c r="BE19" s="339"/>
      <c r="BF19" s="339"/>
      <c r="BG19" s="339"/>
      <c r="BH19" s="339"/>
      <c r="BI19" s="339"/>
      <c r="BJ19" s="339">
        <f t="shared" si="10"/>
        <v>0</v>
      </c>
      <c r="BL19" s="339"/>
      <c r="BM19" s="339"/>
      <c r="BN19" s="339"/>
      <c r="BO19" s="339"/>
      <c r="BP19" s="339"/>
      <c r="BQ19" s="339">
        <f t="shared" si="11"/>
        <v>0</v>
      </c>
      <c r="BS19" s="339"/>
      <c r="BT19" s="339"/>
      <c r="BU19" s="339"/>
      <c r="BV19" s="339"/>
      <c r="BW19" s="339"/>
      <c r="BX19" s="339">
        <f t="shared" si="12"/>
        <v>0</v>
      </c>
      <c r="BZ19" s="339"/>
      <c r="CA19" s="339"/>
      <c r="CB19" s="339"/>
      <c r="CC19" s="339"/>
      <c r="CD19" s="339"/>
      <c r="CE19" s="339">
        <f t="shared" si="13"/>
        <v>0</v>
      </c>
      <c r="CG19" s="339"/>
      <c r="CH19" s="339"/>
      <c r="CI19" s="339"/>
      <c r="CJ19" s="339"/>
      <c r="CK19" s="339"/>
      <c r="CL19" s="339">
        <f t="shared" si="14"/>
        <v>0</v>
      </c>
      <c r="CN19" s="339"/>
      <c r="CO19" s="339"/>
      <c r="CP19" s="339"/>
      <c r="CQ19" s="339"/>
      <c r="CR19" s="339"/>
      <c r="CS19" s="339">
        <f t="shared" si="15"/>
        <v>0</v>
      </c>
      <c r="CU19" s="339"/>
      <c r="CV19" s="339"/>
      <c r="CW19" s="339"/>
      <c r="CX19" s="339"/>
      <c r="CY19" s="339"/>
      <c r="CZ19" s="339">
        <f t="shared" si="16"/>
        <v>0</v>
      </c>
      <c r="DB19" s="339"/>
      <c r="DC19" s="339"/>
      <c r="DD19" s="339"/>
      <c r="DE19" s="339"/>
      <c r="DF19" s="339"/>
      <c r="DG19" s="339">
        <f t="shared" si="17"/>
        <v>0</v>
      </c>
      <c r="DI19" s="339"/>
      <c r="DJ19" s="339"/>
      <c r="DK19" s="339"/>
      <c r="DL19" s="339"/>
      <c r="DM19" s="339"/>
      <c r="DN19" s="339">
        <f t="shared" si="18"/>
        <v>0</v>
      </c>
    </row>
    <row r="20" spans="1:118">
      <c r="A20" s="246" t="s">
        <v>515</v>
      </c>
      <c r="B20" s="398">
        <v>2</v>
      </c>
      <c r="C20" s="399" t="s">
        <v>530</v>
      </c>
      <c r="D20" s="400" t="s">
        <v>531</v>
      </c>
      <c r="E20" s="401">
        <f t="shared" si="2"/>
        <v>54.54</v>
      </c>
      <c r="S20" s="409">
        <f t="shared" si="3"/>
        <v>20.2</v>
      </c>
      <c r="T20" s="409">
        <f>B20*C20*2</f>
        <v>43.2</v>
      </c>
      <c r="V20" s="339">
        <v>2.7</v>
      </c>
      <c r="W20" s="339">
        <v>3.15</v>
      </c>
      <c r="X20" s="339"/>
      <c r="Y20" s="339"/>
      <c r="Z20" s="339"/>
      <c r="AA20" s="339">
        <f t="shared" si="5"/>
        <v>8.5050000000000008</v>
      </c>
      <c r="AC20" s="339">
        <v>4.2750000000000004</v>
      </c>
      <c r="AD20" s="339">
        <v>2.65</v>
      </c>
      <c r="AE20" s="339"/>
      <c r="AF20" s="339" t="s">
        <v>719</v>
      </c>
      <c r="AG20" s="339">
        <f>Q3</f>
        <v>0.67500000000000004</v>
      </c>
      <c r="AH20" s="339">
        <f t="shared" si="6"/>
        <v>10.65375</v>
      </c>
      <c r="AJ20" s="339"/>
      <c r="AK20" s="339"/>
      <c r="AL20" s="339"/>
      <c r="AM20" s="339"/>
      <c r="AN20" s="339"/>
      <c r="AO20" s="339">
        <f t="shared" si="7"/>
        <v>0</v>
      </c>
      <c r="AQ20" s="339"/>
      <c r="AR20" s="339"/>
      <c r="AS20" s="339"/>
      <c r="AT20" s="339"/>
      <c r="AU20" s="339"/>
      <c r="AV20" s="339">
        <f t="shared" si="8"/>
        <v>0</v>
      </c>
      <c r="AX20" s="339">
        <v>8.65</v>
      </c>
      <c r="AY20" s="339">
        <v>3.15</v>
      </c>
      <c r="AZ20" s="339"/>
      <c r="BA20" s="339"/>
      <c r="BB20" s="339"/>
      <c r="BC20" s="339">
        <f t="shared" si="9"/>
        <v>27.247499999999999</v>
      </c>
      <c r="BE20" s="339"/>
      <c r="BF20" s="339"/>
      <c r="BG20" s="339"/>
      <c r="BH20" s="339"/>
      <c r="BI20" s="339"/>
      <c r="BJ20" s="339">
        <f t="shared" si="10"/>
        <v>0</v>
      </c>
      <c r="BL20" s="339"/>
      <c r="BM20" s="339"/>
      <c r="BN20" s="339"/>
      <c r="BO20" s="339"/>
      <c r="BP20" s="339"/>
      <c r="BQ20" s="339">
        <f t="shared" si="11"/>
        <v>0</v>
      </c>
      <c r="BS20" s="339"/>
      <c r="BT20" s="339"/>
      <c r="BU20" s="339"/>
      <c r="BV20" s="339"/>
      <c r="BW20" s="339"/>
      <c r="BX20" s="339">
        <f t="shared" si="12"/>
        <v>0</v>
      </c>
      <c r="BZ20" s="339"/>
      <c r="CA20" s="339"/>
      <c r="CB20" s="339"/>
      <c r="CC20" s="339"/>
      <c r="CD20" s="339"/>
      <c r="CE20" s="339">
        <f t="shared" si="13"/>
        <v>0</v>
      </c>
      <c r="CG20" s="339"/>
      <c r="CH20" s="339"/>
      <c r="CI20" s="339"/>
      <c r="CJ20" s="339"/>
      <c r="CK20" s="339"/>
      <c r="CL20" s="339">
        <f t="shared" si="14"/>
        <v>0</v>
      </c>
      <c r="CN20" s="339"/>
      <c r="CO20" s="339"/>
      <c r="CP20" s="339"/>
      <c r="CQ20" s="339"/>
      <c r="CR20" s="339"/>
      <c r="CS20" s="339">
        <f t="shared" si="15"/>
        <v>0</v>
      </c>
      <c r="CU20" s="339"/>
      <c r="CV20" s="339"/>
      <c r="CW20" s="339"/>
      <c r="CX20" s="339"/>
      <c r="CY20" s="339"/>
      <c r="CZ20" s="339">
        <f t="shared" si="16"/>
        <v>0</v>
      </c>
      <c r="DB20" s="339"/>
      <c r="DC20" s="339"/>
      <c r="DD20" s="339"/>
      <c r="DE20" s="339"/>
      <c r="DF20" s="339"/>
      <c r="DG20" s="339">
        <f t="shared" si="17"/>
        <v>0</v>
      </c>
      <c r="DI20" s="339"/>
      <c r="DJ20" s="339"/>
      <c r="DK20" s="339"/>
      <c r="DL20" s="339"/>
      <c r="DM20" s="339"/>
      <c r="DN20" s="339">
        <f t="shared" si="18"/>
        <v>0</v>
      </c>
    </row>
    <row r="21" spans="1:118">
      <c r="A21" s="246" t="s">
        <v>517</v>
      </c>
      <c r="B21" s="398">
        <v>2</v>
      </c>
      <c r="C21" s="399" t="s">
        <v>680</v>
      </c>
      <c r="D21" s="400" t="s">
        <v>681</v>
      </c>
      <c r="E21" s="401">
        <f t="shared" si="2"/>
        <v>2.2999999999999998</v>
      </c>
      <c r="S21" s="409">
        <f t="shared" ref="S21:S32" si="20">B21*D21*2</f>
        <v>8</v>
      </c>
      <c r="T21" s="409">
        <f t="shared" ref="T21:T32" si="21">B21*C21*2</f>
        <v>4.5999999999999996</v>
      </c>
      <c r="V21" s="339">
        <v>2.7</v>
      </c>
      <c r="W21" s="339">
        <v>3.15</v>
      </c>
      <c r="X21" s="339"/>
      <c r="Y21" s="339"/>
      <c r="Z21" s="339"/>
      <c r="AA21" s="339">
        <f t="shared" si="5"/>
        <v>8.5050000000000008</v>
      </c>
      <c r="AC21" s="339"/>
      <c r="AD21" s="339"/>
      <c r="AE21" s="339"/>
      <c r="AF21" s="339"/>
      <c r="AG21" s="339"/>
      <c r="AH21" s="339">
        <f t="shared" si="6"/>
        <v>0</v>
      </c>
      <c r="AJ21" s="339"/>
      <c r="AK21" s="339"/>
      <c r="AL21" s="339"/>
      <c r="AM21" s="339"/>
      <c r="AN21" s="339"/>
      <c r="AO21" s="339">
        <f t="shared" si="7"/>
        <v>0</v>
      </c>
      <c r="AQ21" s="339"/>
      <c r="AR21" s="339"/>
      <c r="AS21" s="339"/>
      <c r="AT21" s="339"/>
      <c r="AU21" s="339"/>
      <c r="AV21" s="339">
        <f t="shared" si="8"/>
        <v>0</v>
      </c>
      <c r="AX21" s="339">
        <f>3.1*3</f>
        <v>9.3000000000000007</v>
      </c>
      <c r="AY21" s="339">
        <v>4.7</v>
      </c>
      <c r="AZ21" s="339"/>
      <c r="BA21" s="339"/>
      <c r="BB21" s="339"/>
      <c r="BC21" s="339">
        <f t="shared" si="9"/>
        <v>43.710000000000008</v>
      </c>
      <c r="BE21" s="339"/>
      <c r="BF21" s="339"/>
      <c r="BG21" s="339"/>
      <c r="BH21" s="339"/>
      <c r="BI21" s="339"/>
      <c r="BJ21" s="339">
        <f t="shared" si="10"/>
        <v>0</v>
      </c>
      <c r="BL21" s="339"/>
      <c r="BM21" s="339"/>
      <c r="BN21" s="339"/>
      <c r="BO21" s="339"/>
      <c r="BP21" s="339"/>
      <c r="BQ21" s="339">
        <f t="shared" si="11"/>
        <v>0</v>
      </c>
      <c r="BS21" s="339"/>
      <c r="BT21" s="339"/>
      <c r="BU21" s="339"/>
      <c r="BV21" s="339"/>
      <c r="BW21" s="339"/>
      <c r="BX21" s="339">
        <f t="shared" si="12"/>
        <v>0</v>
      </c>
      <c r="BZ21" s="339"/>
      <c r="CA21" s="339"/>
      <c r="CB21" s="339"/>
      <c r="CC21" s="339"/>
      <c r="CD21" s="339"/>
      <c r="CE21" s="339">
        <f t="shared" si="13"/>
        <v>0</v>
      </c>
      <c r="CG21" s="339"/>
      <c r="CH21" s="339"/>
      <c r="CI21" s="339"/>
      <c r="CJ21" s="339"/>
      <c r="CK21" s="339"/>
      <c r="CL21" s="339">
        <f t="shared" si="14"/>
        <v>0</v>
      </c>
      <c r="CN21" s="339"/>
      <c r="CO21" s="339"/>
      <c r="CP21" s="339"/>
      <c r="CQ21" s="339"/>
      <c r="CR21" s="339"/>
      <c r="CS21" s="339">
        <f t="shared" si="15"/>
        <v>0</v>
      </c>
      <c r="CU21" s="339"/>
      <c r="CV21" s="339"/>
      <c r="CW21" s="339"/>
      <c r="CX21" s="339"/>
      <c r="CY21" s="339"/>
      <c r="CZ21" s="339">
        <f t="shared" si="16"/>
        <v>0</v>
      </c>
      <c r="DB21" s="339"/>
      <c r="DC21" s="339"/>
      <c r="DD21" s="339"/>
      <c r="DE21" s="339"/>
      <c r="DF21" s="339"/>
      <c r="DG21" s="339">
        <f t="shared" si="17"/>
        <v>0</v>
      </c>
      <c r="DI21" s="339"/>
      <c r="DJ21" s="339"/>
      <c r="DK21" s="339"/>
      <c r="DL21" s="339"/>
      <c r="DM21" s="339"/>
      <c r="DN21" s="339">
        <f t="shared" si="18"/>
        <v>0</v>
      </c>
    </row>
    <row r="22" spans="1:118">
      <c r="A22" s="246" t="s">
        <v>518</v>
      </c>
      <c r="B22" s="398">
        <v>4</v>
      </c>
      <c r="C22" s="399" t="s">
        <v>532</v>
      </c>
      <c r="D22" s="400" t="s">
        <v>520</v>
      </c>
      <c r="E22" s="401">
        <f t="shared" si="2"/>
        <v>0.67500000000000004</v>
      </c>
      <c r="S22" s="409">
        <f t="shared" si="20"/>
        <v>4</v>
      </c>
      <c r="T22" s="409">
        <f t="shared" si="21"/>
        <v>10.8</v>
      </c>
      <c r="V22" s="339">
        <v>3.7</v>
      </c>
      <c r="W22" s="339">
        <v>3.8</v>
      </c>
      <c r="X22" s="339"/>
      <c r="Y22" s="339" t="s">
        <v>706</v>
      </c>
      <c r="Z22" s="339">
        <f>K5</f>
        <v>3.8949999999999996</v>
      </c>
      <c r="AA22" s="339">
        <f t="shared" si="5"/>
        <v>10.165000000000001</v>
      </c>
      <c r="AC22" s="339"/>
      <c r="AD22" s="339"/>
      <c r="AE22" s="339"/>
      <c r="AF22" s="339"/>
      <c r="AG22" s="339"/>
      <c r="AH22" s="339">
        <f t="shared" si="6"/>
        <v>0</v>
      </c>
      <c r="AJ22" s="339"/>
      <c r="AK22" s="339"/>
      <c r="AL22" s="339"/>
      <c r="AM22" s="339"/>
      <c r="AN22" s="339"/>
      <c r="AO22" s="339">
        <f t="shared" si="7"/>
        <v>0</v>
      </c>
      <c r="AQ22" s="339"/>
      <c r="AR22" s="339"/>
      <c r="AS22" s="339"/>
      <c r="AT22" s="339"/>
      <c r="AU22" s="339"/>
      <c r="AV22" s="339">
        <f t="shared" si="8"/>
        <v>0</v>
      </c>
      <c r="AX22" s="339">
        <v>56</v>
      </c>
      <c r="AY22" s="339">
        <v>4.7</v>
      </c>
      <c r="AZ22" s="339"/>
      <c r="BA22" s="339" t="s">
        <v>733</v>
      </c>
      <c r="BB22" s="339">
        <f>Q13*2+Q2+Q11+K5*2+Q5*4</f>
        <v>37.99</v>
      </c>
      <c r="BC22" s="339">
        <f t="shared" si="9"/>
        <v>225.20999999999998</v>
      </c>
      <c r="BE22" s="339"/>
      <c r="BF22" s="339"/>
      <c r="BG22" s="339"/>
      <c r="BH22" s="339"/>
      <c r="BI22" s="339"/>
      <c r="BJ22" s="339">
        <f t="shared" si="10"/>
        <v>0</v>
      </c>
      <c r="BL22" s="339"/>
      <c r="BM22" s="339"/>
      <c r="BN22" s="339"/>
      <c r="BO22" s="339"/>
      <c r="BP22" s="339"/>
      <c r="BQ22" s="339">
        <f t="shared" si="11"/>
        <v>0</v>
      </c>
      <c r="BS22" s="339"/>
      <c r="BT22" s="339"/>
      <c r="BU22" s="339"/>
      <c r="BV22" s="339"/>
      <c r="BW22" s="339"/>
      <c r="BX22" s="339">
        <f t="shared" si="12"/>
        <v>0</v>
      </c>
      <c r="BZ22" s="339"/>
      <c r="CA22" s="339"/>
      <c r="CB22" s="339"/>
      <c r="CC22" s="339"/>
      <c r="CD22" s="339"/>
      <c r="CE22" s="339">
        <f t="shared" si="13"/>
        <v>0</v>
      </c>
      <c r="CG22" s="339"/>
      <c r="CH22" s="339"/>
      <c r="CI22" s="339"/>
      <c r="CJ22" s="339"/>
      <c r="CK22" s="339"/>
      <c r="CL22" s="339">
        <f t="shared" si="14"/>
        <v>0</v>
      </c>
      <c r="CN22" s="339"/>
      <c r="CO22" s="339"/>
      <c r="CP22" s="339"/>
      <c r="CQ22" s="339"/>
      <c r="CR22" s="339"/>
      <c r="CS22" s="339">
        <f t="shared" si="15"/>
        <v>0</v>
      </c>
      <c r="CU22" s="339"/>
      <c r="CV22" s="339"/>
      <c r="CW22" s="339"/>
      <c r="CX22" s="339"/>
      <c r="CY22" s="339"/>
      <c r="CZ22" s="339">
        <f t="shared" si="16"/>
        <v>0</v>
      </c>
      <c r="DB22" s="339"/>
      <c r="DC22" s="339"/>
      <c r="DD22" s="339"/>
      <c r="DE22" s="339"/>
      <c r="DF22" s="339"/>
      <c r="DG22" s="339">
        <f t="shared" si="17"/>
        <v>0</v>
      </c>
      <c r="DI22" s="339"/>
      <c r="DJ22" s="339"/>
      <c r="DK22" s="339"/>
      <c r="DL22" s="339"/>
      <c r="DM22" s="339"/>
      <c r="DN22" s="339">
        <f t="shared" si="18"/>
        <v>0</v>
      </c>
    </row>
    <row r="23" spans="1:118">
      <c r="A23" s="246" t="s">
        <v>519</v>
      </c>
      <c r="B23" s="398">
        <v>2</v>
      </c>
      <c r="C23" s="399" t="s">
        <v>681</v>
      </c>
      <c r="D23" s="400" t="s">
        <v>520</v>
      </c>
      <c r="E23" s="401">
        <f t="shared" si="2"/>
        <v>1</v>
      </c>
      <c r="S23" s="409">
        <f t="shared" si="20"/>
        <v>2</v>
      </c>
      <c r="T23" s="409">
        <f t="shared" si="21"/>
        <v>8</v>
      </c>
      <c r="V23" s="339">
        <v>3.7</v>
      </c>
      <c r="W23" s="339">
        <v>3.8</v>
      </c>
      <c r="X23" s="339"/>
      <c r="Y23" s="339" t="s">
        <v>706</v>
      </c>
      <c r="Z23" s="339">
        <f>K5</f>
        <v>3.8949999999999996</v>
      </c>
      <c r="AA23" s="339">
        <f t="shared" si="5"/>
        <v>10.165000000000001</v>
      </c>
      <c r="AC23" s="339"/>
      <c r="AD23" s="339"/>
      <c r="AE23" s="339"/>
      <c r="AF23" s="339"/>
      <c r="AG23" s="339"/>
      <c r="AH23" s="339">
        <f t="shared" si="6"/>
        <v>0</v>
      </c>
      <c r="AJ23" s="339"/>
      <c r="AK23" s="339"/>
      <c r="AL23" s="339"/>
      <c r="AM23" s="339"/>
      <c r="AN23" s="339"/>
      <c r="AO23" s="339">
        <f t="shared" si="7"/>
        <v>0</v>
      </c>
      <c r="AQ23" s="339"/>
      <c r="AR23" s="339"/>
      <c r="AS23" s="339"/>
      <c r="AT23" s="339"/>
      <c r="AU23" s="339"/>
      <c r="AV23" s="339">
        <f t="shared" si="8"/>
        <v>0</v>
      </c>
      <c r="AX23" s="339">
        <v>43.15</v>
      </c>
      <c r="AY23" s="339">
        <v>3.5</v>
      </c>
      <c r="AZ23" s="339"/>
      <c r="BA23" s="339" t="s">
        <v>734</v>
      </c>
      <c r="BB23" s="339">
        <f>K13+K4*2+K17+Q11+K4*4</f>
        <v>33.045000000000002</v>
      </c>
      <c r="BC23" s="339">
        <f t="shared" si="9"/>
        <v>117.98</v>
      </c>
      <c r="BE23" s="339"/>
      <c r="BF23" s="339"/>
      <c r="BG23" s="339"/>
      <c r="BH23" s="339"/>
      <c r="BI23" s="339"/>
      <c r="BJ23" s="339">
        <f t="shared" si="10"/>
        <v>0</v>
      </c>
      <c r="BL23" s="339"/>
      <c r="BM23" s="339"/>
      <c r="BN23" s="339"/>
      <c r="BO23" s="339"/>
      <c r="BP23" s="339"/>
      <c r="BQ23" s="339">
        <f t="shared" si="11"/>
        <v>0</v>
      </c>
      <c r="BS23" s="339"/>
      <c r="BT23" s="339"/>
      <c r="BU23" s="339"/>
      <c r="BV23" s="339"/>
      <c r="BW23" s="339"/>
      <c r="BX23" s="339">
        <f t="shared" si="12"/>
        <v>0</v>
      </c>
      <c r="BZ23" s="339"/>
      <c r="CA23" s="339"/>
      <c r="CB23" s="339"/>
      <c r="CC23" s="339"/>
      <c r="CD23" s="339"/>
      <c r="CE23" s="339">
        <f t="shared" si="13"/>
        <v>0</v>
      </c>
      <c r="CG23" s="339"/>
      <c r="CH23" s="339"/>
      <c r="CI23" s="339"/>
      <c r="CJ23" s="339"/>
      <c r="CK23" s="339"/>
      <c r="CL23" s="339">
        <f t="shared" si="14"/>
        <v>0</v>
      </c>
      <c r="CN23" s="339"/>
      <c r="CO23" s="339"/>
      <c r="CP23" s="339"/>
      <c r="CQ23" s="339"/>
      <c r="CR23" s="339"/>
      <c r="CS23" s="339">
        <f t="shared" si="15"/>
        <v>0</v>
      </c>
      <c r="CU23" s="339"/>
      <c r="CV23" s="339"/>
      <c r="CW23" s="339"/>
      <c r="CX23" s="339"/>
      <c r="CY23" s="339"/>
      <c r="CZ23" s="339">
        <f t="shared" si="16"/>
        <v>0</v>
      </c>
      <c r="DB23" s="339"/>
      <c r="DC23" s="339"/>
      <c r="DD23" s="339"/>
      <c r="DE23" s="339"/>
      <c r="DF23" s="339"/>
      <c r="DG23" s="339">
        <f t="shared" si="17"/>
        <v>0</v>
      </c>
      <c r="DI23" s="339"/>
      <c r="DJ23" s="339"/>
      <c r="DK23" s="339"/>
      <c r="DL23" s="339"/>
      <c r="DM23" s="339"/>
      <c r="DN23" s="339">
        <f t="shared" si="18"/>
        <v>0</v>
      </c>
    </row>
    <row r="24" spans="1:118">
      <c r="A24" s="246" t="s">
        <v>521</v>
      </c>
      <c r="B24" s="398">
        <v>13</v>
      </c>
      <c r="C24" s="399" t="s">
        <v>687</v>
      </c>
      <c r="D24" s="400" t="s">
        <v>516</v>
      </c>
      <c r="E24" s="401">
        <f t="shared" si="2"/>
        <v>3.8249999999999997</v>
      </c>
      <c r="S24" s="409">
        <f t="shared" si="20"/>
        <v>39</v>
      </c>
      <c r="T24" s="409">
        <f t="shared" si="21"/>
        <v>66.3</v>
      </c>
      <c r="V24" s="339">
        <v>3.7</v>
      </c>
      <c r="W24" s="339">
        <v>3</v>
      </c>
      <c r="X24" s="339"/>
      <c r="Y24" s="339"/>
      <c r="Z24" s="339"/>
      <c r="AA24" s="339">
        <f t="shared" si="5"/>
        <v>11.100000000000001</v>
      </c>
      <c r="AC24" s="339"/>
      <c r="AD24" s="339"/>
      <c r="AE24" s="339"/>
      <c r="AF24" s="339"/>
      <c r="AG24" s="339"/>
      <c r="AH24" s="339">
        <f t="shared" si="6"/>
        <v>0</v>
      </c>
      <c r="AJ24" s="339"/>
      <c r="AK24" s="339"/>
      <c r="AL24" s="339"/>
      <c r="AM24" s="339"/>
      <c r="AN24" s="339"/>
      <c r="AO24" s="339">
        <f t="shared" si="7"/>
        <v>0</v>
      </c>
      <c r="AQ24" s="339"/>
      <c r="AR24" s="339"/>
      <c r="AS24" s="339"/>
      <c r="AT24" s="339"/>
      <c r="AU24" s="339"/>
      <c r="AV24" s="339">
        <f t="shared" si="8"/>
        <v>0</v>
      </c>
      <c r="AX24" s="339">
        <v>17.5</v>
      </c>
      <c r="AY24" s="339">
        <v>3.65</v>
      </c>
      <c r="AZ24" s="339"/>
      <c r="BA24" s="339"/>
      <c r="BB24" s="339"/>
      <c r="BC24" s="339">
        <f t="shared" si="9"/>
        <v>63.875</v>
      </c>
      <c r="BE24" s="339"/>
      <c r="BF24" s="339"/>
      <c r="BG24" s="339"/>
      <c r="BH24" s="339"/>
      <c r="BI24" s="339"/>
      <c r="BJ24" s="339">
        <f t="shared" si="10"/>
        <v>0</v>
      </c>
      <c r="BL24" s="339"/>
      <c r="BM24" s="339"/>
      <c r="BN24" s="339"/>
      <c r="BO24" s="339"/>
      <c r="BP24" s="339"/>
      <c r="BQ24" s="339">
        <f t="shared" si="11"/>
        <v>0</v>
      </c>
      <c r="BS24" s="339"/>
      <c r="BT24" s="339"/>
      <c r="BU24" s="339"/>
      <c r="BV24" s="339"/>
      <c r="BW24" s="339"/>
      <c r="BX24" s="339">
        <f t="shared" si="12"/>
        <v>0</v>
      </c>
      <c r="BZ24" s="339"/>
      <c r="CA24" s="339"/>
      <c r="CB24" s="339"/>
      <c r="CC24" s="339"/>
      <c r="CD24" s="339"/>
      <c r="CE24" s="339">
        <f t="shared" si="13"/>
        <v>0</v>
      </c>
      <c r="CG24" s="339"/>
      <c r="CH24" s="339"/>
      <c r="CI24" s="339"/>
      <c r="CJ24" s="339"/>
      <c r="CK24" s="339"/>
      <c r="CL24" s="339">
        <f t="shared" si="14"/>
        <v>0</v>
      </c>
      <c r="CN24" s="339"/>
      <c r="CO24" s="339"/>
      <c r="CP24" s="339"/>
      <c r="CQ24" s="339"/>
      <c r="CR24" s="339"/>
      <c r="CS24" s="339">
        <f t="shared" si="15"/>
        <v>0</v>
      </c>
      <c r="CU24" s="339"/>
      <c r="CV24" s="339"/>
      <c r="CW24" s="339"/>
      <c r="CX24" s="339"/>
      <c r="CY24" s="339"/>
      <c r="CZ24" s="339">
        <f t="shared" si="16"/>
        <v>0</v>
      </c>
      <c r="DB24" s="339"/>
      <c r="DC24" s="339"/>
      <c r="DD24" s="339"/>
      <c r="DE24" s="339"/>
      <c r="DF24" s="339"/>
      <c r="DG24" s="339">
        <f t="shared" si="17"/>
        <v>0</v>
      </c>
      <c r="DI24" s="339"/>
      <c r="DJ24" s="339"/>
      <c r="DK24" s="339"/>
      <c r="DL24" s="339"/>
      <c r="DM24" s="339"/>
      <c r="DN24" s="339">
        <f t="shared" si="18"/>
        <v>0</v>
      </c>
    </row>
    <row r="25" spans="1:118">
      <c r="A25" s="246" t="s">
        <v>522</v>
      </c>
      <c r="B25" s="398">
        <v>3</v>
      </c>
      <c r="C25" s="399" t="s">
        <v>666</v>
      </c>
      <c r="D25" s="400" t="s">
        <v>689</v>
      </c>
      <c r="E25" s="401">
        <f t="shared" si="2"/>
        <v>7.7000000000000011</v>
      </c>
      <c r="S25" s="409">
        <f t="shared" si="20"/>
        <v>13.200000000000001</v>
      </c>
      <c r="T25" s="409">
        <f t="shared" si="21"/>
        <v>21</v>
      </c>
      <c r="V25" s="339">
        <v>3.7</v>
      </c>
      <c r="W25" s="339">
        <v>3</v>
      </c>
      <c r="X25" s="339"/>
      <c r="Y25" s="339"/>
      <c r="Z25" s="339"/>
      <c r="AA25" s="339">
        <f t="shared" si="5"/>
        <v>11.100000000000001</v>
      </c>
      <c r="AC25" s="339"/>
      <c r="AD25" s="339"/>
      <c r="AE25" s="339"/>
      <c r="AF25" s="339"/>
      <c r="AG25" s="339"/>
      <c r="AH25" s="339">
        <f t="shared" si="6"/>
        <v>0</v>
      </c>
      <c r="AJ25" s="339"/>
      <c r="AK25" s="339"/>
      <c r="AL25" s="339"/>
      <c r="AM25" s="339"/>
      <c r="AN25" s="339"/>
      <c r="AO25" s="339">
        <f t="shared" si="7"/>
        <v>0</v>
      </c>
      <c r="AQ25" s="339"/>
      <c r="AR25" s="339"/>
      <c r="AS25" s="339"/>
      <c r="AT25" s="339"/>
      <c r="AU25" s="339"/>
      <c r="AV25" s="339">
        <f t="shared" si="8"/>
        <v>0</v>
      </c>
      <c r="AX25" s="339">
        <f>1.2*10</f>
        <v>12</v>
      </c>
      <c r="AY25" s="339">
        <v>4.7</v>
      </c>
      <c r="AZ25" s="339"/>
      <c r="BA25" s="339"/>
      <c r="BB25" s="339"/>
      <c r="BC25" s="339">
        <f t="shared" si="9"/>
        <v>56.400000000000006</v>
      </c>
      <c r="BE25" s="339"/>
      <c r="BF25" s="339"/>
      <c r="BG25" s="339"/>
      <c r="BH25" s="339"/>
      <c r="BI25" s="339"/>
      <c r="BJ25" s="339">
        <f t="shared" si="10"/>
        <v>0</v>
      </c>
      <c r="BL25" s="339"/>
      <c r="BM25" s="339"/>
      <c r="BN25" s="339"/>
      <c r="BO25" s="339"/>
      <c r="BP25" s="339"/>
      <c r="BQ25" s="339">
        <f t="shared" si="11"/>
        <v>0</v>
      </c>
      <c r="BS25" s="339"/>
      <c r="BT25" s="339"/>
      <c r="BU25" s="339"/>
      <c r="BV25" s="339"/>
      <c r="BW25" s="339"/>
      <c r="BX25" s="339">
        <f t="shared" si="12"/>
        <v>0</v>
      </c>
      <c r="BZ25" s="339"/>
      <c r="CA25" s="339"/>
      <c r="CB25" s="339"/>
      <c r="CC25" s="339"/>
      <c r="CD25" s="339"/>
      <c r="CE25" s="339">
        <f t="shared" si="13"/>
        <v>0</v>
      </c>
      <c r="CG25" s="339"/>
      <c r="CH25" s="339"/>
      <c r="CI25" s="339"/>
      <c r="CJ25" s="339"/>
      <c r="CK25" s="339"/>
      <c r="CL25" s="339">
        <f t="shared" si="14"/>
        <v>0</v>
      </c>
      <c r="CN25" s="339"/>
      <c r="CO25" s="339"/>
      <c r="CP25" s="339"/>
      <c r="CQ25" s="339"/>
      <c r="CR25" s="339"/>
      <c r="CS25" s="339">
        <f t="shared" si="15"/>
        <v>0</v>
      </c>
      <c r="CU25" s="339"/>
      <c r="CV25" s="339"/>
      <c r="CW25" s="339"/>
      <c r="CX25" s="339"/>
      <c r="CY25" s="339"/>
      <c r="CZ25" s="339">
        <f t="shared" si="16"/>
        <v>0</v>
      </c>
      <c r="DB25" s="339"/>
      <c r="DC25" s="339"/>
      <c r="DD25" s="339"/>
      <c r="DE25" s="339"/>
      <c r="DF25" s="339"/>
      <c r="DG25" s="339">
        <f t="shared" si="17"/>
        <v>0</v>
      </c>
      <c r="DI25" s="339"/>
      <c r="DJ25" s="339"/>
      <c r="DK25" s="339"/>
      <c r="DL25" s="339"/>
      <c r="DM25" s="339"/>
      <c r="DN25" s="339">
        <f t="shared" si="18"/>
        <v>0</v>
      </c>
    </row>
    <row r="26" spans="1:118">
      <c r="A26" s="246" t="s">
        <v>523</v>
      </c>
      <c r="B26" s="398">
        <v>2</v>
      </c>
      <c r="C26" s="399" t="s">
        <v>516</v>
      </c>
      <c r="D26" s="400" t="s">
        <v>689</v>
      </c>
      <c r="E26" s="401">
        <f t="shared" si="2"/>
        <v>3.3000000000000003</v>
      </c>
      <c r="S26" s="409">
        <f t="shared" si="20"/>
        <v>8.8000000000000007</v>
      </c>
      <c r="T26" s="409">
        <f t="shared" si="21"/>
        <v>6</v>
      </c>
      <c r="V26" s="339">
        <v>3.7</v>
      </c>
      <c r="W26" s="339">
        <v>3</v>
      </c>
      <c r="X26" s="339"/>
      <c r="Y26" s="339"/>
      <c r="Z26" s="339"/>
      <c r="AA26" s="339">
        <f t="shared" si="5"/>
        <v>11.100000000000001</v>
      </c>
      <c r="AC26" s="339"/>
      <c r="AD26" s="339"/>
      <c r="AE26" s="339"/>
      <c r="AF26" s="339"/>
      <c r="AG26" s="339"/>
      <c r="AH26" s="339">
        <f t="shared" si="6"/>
        <v>0</v>
      </c>
      <c r="AJ26" s="339"/>
      <c r="AK26" s="339"/>
      <c r="AL26" s="339"/>
      <c r="AM26" s="339"/>
      <c r="AN26" s="339"/>
      <c r="AO26" s="339">
        <f t="shared" si="7"/>
        <v>0</v>
      </c>
      <c r="AQ26" s="339"/>
      <c r="AR26" s="339"/>
      <c r="AS26" s="339"/>
      <c r="AT26" s="339"/>
      <c r="AU26" s="339"/>
      <c r="AV26" s="339">
        <f t="shared" si="8"/>
        <v>0</v>
      </c>
      <c r="AX26" s="339">
        <f>1.3*6</f>
        <v>7.8000000000000007</v>
      </c>
      <c r="AY26" s="339">
        <v>3.15</v>
      </c>
      <c r="AZ26" s="339"/>
      <c r="BA26" s="339"/>
      <c r="BB26" s="339"/>
      <c r="BC26" s="339">
        <f t="shared" si="9"/>
        <v>24.57</v>
      </c>
      <c r="BE26" s="339"/>
      <c r="BF26" s="339"/>
      <c r="BG26" s="339"/>
      <c r="BH26" s="339"/>
      <c r="BI26" s="339"/>
      <c r="BJ26" s="339">
        <f t="shared" si="10"/>
        <v>0</v>
      </c>
      <c r="BL26" s="339"/>
      <c r="BM26" s="339"/>
      <c r="BN26" s="339"/>
      <c r="BO26" s="339"/>
      <c r="BP26" s="339"/>
      <c r="BQ26" s="339">
        <f t="shared" si="11"/>
        <v>0</v>
      </c>
      <c r="BS26" s="339"/>
      <c r="BT26" s="339"/>
      <c r="BU26" s="339"/>
      <c r="BV26" s="339"/>
      <c r="BW26" s="339"/>
      <c r="BX26" s="339">
        <f t="shared" si="12"/>
        <v>0</v>
      </c>
      <c r="BZ26" s="339"/>
      <c r="CA26" s="339"/>
      <c r="CB26" s="339"/>
      <c r="CC26" s="339"/>
      <c r="CD26" s="339"/>
      <c r="CE26" s="339">
        <f t="shared" si="13"/>
        <v>0</v>
      </c>
      <c r="CG26" s="339"/>
      <c r="CH26" s="339"/>
      <c r="CI26" s="339"/>
      <c r="CJ26" s="339"/>
      <c r="CK26" s="339"/>
      <c r="CL26" s="339">
        <f t="shared" si="14"/>
        <v>0</v>
      </c>
      <c r="CN26" s="339"/>
      <c r="CO26" s="339"/>
      <c r="CP26" s="339"/>
      <c r="CQ26" s="339"/>
      <c r="CR26" s="339"/>
      <c r="CS26" s="339">
        <f t="shared" si="15"/>
        <v>0</v>
      </c>
      <c r="CU26" s="339"/>
      <c r="CV26" s="339"/>
      <c r="CW26" s="339"/>
      <c r="CX26" s="339"/>
      <c r="CY26" s="339"/>
      <c r="CZ26" s="339">
        <f t="shared" si="16"/>
        <v>0</v>
      </c>
      <c r="DB26" s="339"/>
      <c r="DC26" s="339"/>
      <c r="DD26" s="339"/>
      <c r="DE26" s="339"/>
      <c r="DF26" s="339"/>
      <c r="DG26" s="339">
        <f t="shared" si="17"/>
        <v>0</v>
      </c>
      <c r="DI26" s="339"/>
      <c r="DJ26" s="339"/>
      <c r="DK26" s="339"/>
      <c r="DL26" s="339"/>
      <c r="DM26" s="339"/>
      <c r="DN26" s="339">
        <f t="shared" si="18"/>
        <v>0</v>
      </c>
    </row>
    <row r="27" spans="1:118">
      <c r="A27" s="246" t="s">
        <v>524</v>
      </c>
      <c r="B27" s="398">
        <v>2</v>
      </c>
      <c r="C27" s="399" t="s">
        <v>520</v>
      </c>
      <c r="D27" s="400" t="s">
        <v>690</v>
      </c>
      <c r="E27" s="401">
        <f t="shared" si="2"/>
        <v>5.55</v>
      </c>
      <c r="S27" s="409">
        <f t="shared" si="20"/>
        <v>44.4</v>
      </c>
      <c r="T27" s="409">
        <f t="shared" si="21"/>
        <v>2</v>
      </c>
      <c r="V27" s="339">
        <v>3.7</v>
      </c>
      <c r="W27" s="339">
        <v>2.85</v>
      </c>
      <c r="X27" s="339"/>
      <c r="Y27" s="339"/>
      <c r="Z27" s="339"/>
      <c r="AA27" s="339">
        <f t="shared" si="5"/>
        <v>10.545000000000002</v>
      </c>
      <c r="AC27" s="339"/>
      <c r="AD27" s="339"/>
      <c r="AE27" s="339"/>
      <c r="AF27" s="339"/>
      <c r="AG27" s="339"/>
      <c r="AH27" s="339">
        <f t="shared" si="6"/>
        <v>0</v>
      </c>
      <c r="AJ27" s="339"/>
      <c r="AK27" s="339"/>
      <c r="AL27" s="339"/>
      <c r="AM27" s="339"/>
      <c r="AN27" s="339"/>
      <c r="AO27" s="339">
        <f t="shared" si="7"/>
        <v>0</v>
      </c>
      <c r="AQ27" s="339"/>
      <c r="AR27" s="339"/>
      <c r="AS27" s="339"/>
      <c r="AT27" s="339"/>
      <c r="AU27" s="339"/>
      <c r="AV27" s="339">
        <f t="shared" si="8"/>
        <v>0</v>
      </c>
      <c r="AX27" s="339"/>
      <c r="AY27" s="339"/>
      <c r="AZ27" s="339"/>
      <c r="BA27" s="339"/>
      <c r="BB27" s="339"/>
      <c r="BC27" s="339">
        <f t="shared" si="9"/>
        <v>0</v>
      </c>
      <c r="BE27" s="339"/>
      <c r="BF27" s="339"/>
      <c r="BG27" s="339"/>
      <c r="BH27" s="339"/>
      <c r="BI27" s="339"/>
      <c r="BJ27" s="339">
        <f t="shared" si="10"/>
        <v>0</v>
      </c>
      <c r="BL27" s="339"/>
      <c r="BM27" s="339"/>
      <c r="BN27" s="339"/>
      <c r="BO27" s="339"/>
      <c r="BP27" s="339"/>
      <c r="BQ27" s="339">
        <f t="shared" si="11"/>
        <v>0</v>
      </c>
      <c r="BS27" s="339"/>
      <c r="BT27" s="339"/>
      <c r="BU27" s="339"/>
      <c r="BV27" s="339"/>
      <c r="BW27" s="339"/>
      <c r="BX27" s="339">
        <f t="shared" si="12"/>
        <v>0</v>
      </c>
      <c r="BZ27" s="339"/>
      <c r="CA27" s="339"/>
      <c r="CB27" s="339"/>
      <c r="CC27" s="339"/>
      <c r="CD27" s="339"/>
      <c r="CE27" s="339">
        <f t="shared" si="13"/>
        <v>0</v>
      </c>
      <c r="CG27" s="339"/>
      <c r="CH27" s="339"/>
      <c r="CI27" s="339"/>
      <c r="CJ27" s="339"/>
      <c r="CK27" s="339"/>
      <c r="CL27" s="339">
        <f t="shared" si="14"/>
        <v>0</v>
      </c>
      <c r="CN27" s="339"/>
      <c r="CO27" s="339"/>
      <c r="CP27" s="339"/>
      <c r="CQ27" s="339"/>
      <c r="CR27" s="339"/>
      <c r="CS27" s="339">
        <f t="shared" si="15"/>
        <v>0</v>
      </c>
      <c r="CU27" s="339"/>
      <c r="CV27" s="339"/>
      <c r="CW27" s="339"/>
      <c r="CX27" s="339"/>
      <c r="CY27" s="339"/>
      <c r="CZ27" s="339">
        <f t="shared" si="16"/>
        <v>0</v>
      </c>
      <c r="DB27" s="339"/>
      <c r="DC27" s="339"/>
      <c r="DD27" s="339"/>
      <c r="DE27" s="339"/>
      <c r="DF27" s="339"/>
      <c r="DG27" s="339">
        <f t="shared" si="17"/>
        <v>0</v>
      </c>
      <c r="DI27" s="339"/>
      <c r="DJ27" s="339"/>
      <c r="DK27" s="339"/>
      <c r="DL27" s="339"/>
      <c r="DM27" s="339"/>
      <c r="DN27" s="339">
        <f t="shared" si="18"/>
        <v>0</v>
      </c>
    </row>
    <row r="28" spans="1:118">
      <c r="A28" s="246" t="s">
        <v>691</v>
      </c>
      <c r="B28" s="398">
        <v>2</v>
      </c>
      <c r="C28" s="399" t="s">
        <v>520</v>
      </c>
      <c r="D28" s="400" t="s">
        <v>692</v>
      </c>
      <c r="E28" s="401">
        <f t="shared" si="2"/>
        <v>4.7249999999999996</v>
      </c>
      <c r="S28" s="409">
        <f t="shared" si="20"/>
        <v>37.799999999999997</v>
      </c>
      <c r="T28" s="409">
        <f t="shared" si="21"/>
        <v>2</v>
      </c>
      <c r="V28" s="339">
        <v>3.7</v>
      </c>
      <c r="W28" s="339">
        <v>2.85</v>
      </c>
      <c r="X28" s="339"/>
      <c r="Y28" s="339"/>
      <c r="Z28" s="339"/>
      <c r="AA28" s="339">
        <f t="shared" si="5"/>
        <v>10.545000000000002</v>
      </c>
      <c r="AC28" s="339"/>
      <c r="AD28" s="339"/>
      <c r="AE28" s="339"/>
      <c r="AF28" s="339"/>
      <c r="AG28" s="339"/>
      <c r="AH28" s="339">
        <f t="shared" si="6"/>
        <v>0</v>
      </c>
      <c r="AJ28" s="339"/>
      <c r="AK28" s="339"/>
      <c r="AL28" s="339"/>
      <c r="AM28" s="339"/>
      <c r="AN28" s="339"/>
      <c r="AO28" s="339">
        <f t="shared" si="7"/>
        <v>0</v>
      </c>
      <c r="AQ28" s="339"/>
      <c r="AR28" s="339"/>
      <c r="AS28" s="339"/>
      <c r="AT28" s="339"/>
      <c r="AU28" s="339"/>
      <c r="AV28" s="339">
        <f t="shared" si="8"/>
        <v>0</v>
      </c>
      <c r="AW28" s="427" t="s">
        <v>740</v>
      </c>
      <c r="AX28" s="339">
        <v>1.1000000000000001</v>
      </c>
      <c r="AY28" s="339">
        <f>5.6*2+11.8*2</f>
        <v>34.799999999999997</v>
      </c>
      <c r="AZ28" s="339"/>
      <c r="BA28" s="339"/>
      <c r="BB28" s="339"/>
      <c r="BC28" s="339">
        <f t="shared" si="9"/>
        <v>38.28</v>
      </c>
      <c r="BE28" s="339"/>
      <c r="BF28" s="339"/>
      <c r="BG28" s="339"/>
      <c r="BH28" s="339"/>
      <c r="BI28" s="339"/>
      <c r="BJ28" s="339">
        <f t="shared" si="10"/>
        <v>0</v>
      </c>
      <c r="BL28" s="339"/>
      <c r="BM28" s="339"/>
      <c r="BN28" s="339"/>
      <c r="BO28" s="339"/>
      <c r="BP28" s="339"/>
      <c r="BQ28" s="339">
        <f t="shared" si="11"/>
        <v>0</v>
      </c>
      <c r="BS28" s="339"/>
      <c r="BT28" s="339"/>
      <c r="BU28" s="339"/>
      <c r="BV28" s="339"/>
      <c r="BW28" s="339"/>
      <c r="BX28" s="339">
        <f t="shared" si="12"/>
        <v>0</v>
      </c>
      <c r="BZ28" s="339"/>
      <c r="CA28" s="339"/>
      <c r="CB28" s="339"/>
      <c r="CC28" s="339"/>
      <c r="CD28" s="339"/>
      <c r="CE28" s="339">
        <f t="shared" si="13"/>
        <v>0</v>
      </c>
      <c r="CG28" s="339"/>
      <c r="CH28" s="339"/>
      <c r="CI28" s="339"/>
      <c r="CJ28" s="339"/>
      <c r="CK28" s="339"/>
      <c r="CL28" s="339">
        <f t="shared" si="14"/>
        <v>0</v>
      </c>
      <c r="CN28" s="339"/>
      <c r="CO28" s="339"/>
      <c r="CP28" s="339"/>
      <c r="CQ28" s="339"/>
      <c r="CR28" s="339"/>
      <c r="CS28" s="339">
        <f t="shared" si="15"/>
        <v>0</v>
      </c>
      <c r="CU28" s="339"/>
      <c r="CV28" s="339"/>
      <c r="CW28" s="339"/>
      <c r="CX28" s="339"/>
      <c r="CY28" s="339"/>
      <c r="CZ28" s="339">
        <f t="shared" si="16"/>
        <v>0</v>
      </c>
      <c r="DB28" s="339"/>
      <c r="DC28" s="339"/>
      <c r="DD28" s="339"/>
      <c r="DE28" s="339"/>
      <c r="DF28" s="339"/>
      <c r="DG28" s="339">
        <f t="shared" si="17"/>
        <v>0</v>
      </c>
      <c r="DI28" s="339"/>
      <c r="DJ28" s="339"/>
      <c r="DK28" s="339"/>
      <c r="DL28" s="339"/>
      <c r="DM28" s="339"/>
      <c r="DN28" s="339">
        <f t="shared" si="18"/>
        <v>0</v>
      </c>
    </row>
    <row r="29" spans="1:118">
      <c r="A29" s="246" t="s">
        <v>526</v>
      </c>
      <c r="B29" s="398">
        <v>3</v>
      </c>
      <c r="C29" s="399" t="s">
        <v>666</v>
      </c>
      <c r="D29" s="400" t="s">
        <v>516</v>
      </c>
      <c r="E29" s="401">
        <f t="shared" si="2"/>
        <v>5.25</v>
      </c>
      <c r="S29" s="409">
        <f t="shared" si="20"/>
        <v>9</v>
      </c>
      <c r="T29" s="409">
        <f t="shared" si="21"/>
        <v>21</v>
      </c>
      <c r="V29" s="339">
        <v>3.7</v>
      </c>
      <c r="W29" s="339">
        <v>2.85</v>
      </c>
      <c r="X29" s="339"/>
      <c r="Y29" s="339"/>
      <c r="Z29" s="339"/>
      <c r="AA29" s="339">
        <f t="shared" si="5"/>
        <v>10.545000000000002</v>
      </c>
      <c r="AC29" s="339"/>
      <c r="AD29" s="339"/>
      <c r="AE29" s="339"/>
      <c r="AF29" s="339"/>
      <c r="AG29" s="339"/>
      <c r="AH29" s="339">
        <f t="shared" si="6"/>
        <v>0</v>
      </c>
      <c r="AJ29" s="339"/>
      <c r="AK29" s="339"/>
      <c r="AL29" s="339"/>
      <c r="AM29" s="339"/>
      <c r="AN29" s="339"/>
      <c r="AO29" s="339">
        <f t="shared" si="7"/>
        <v>0</v>
      </c>
      <c r="AQ29" s="339"/>
      <c r="AR29" s="339"/>
      <c r="AS29" s="339"/>
      <c r="AT29" s="339"/>
      <c r="AU29" s="339"/>
      <c r="AV29" s="339">
        <f t="shared" si="8"/>
        <v>0</v>
      </c>
      <c r="AX29" s="339"/>
      <c r="AY29" s="339"/>
      <c r="AZ29" s="339"/>
      <c r="BA29" s="339"/>
      <c r="BB29" s="339"/>
      <c r="BC29" s="339">
        <f t="shared" si="9"/>
        <v>0</v>
      </c>
      <c r="BE29" s="339"/>
      <c r="BF29" s="339"/>
      <c r="BG29" s="339"/>
      <c r="BH29" s="339"/>
      <c r="BI29" s="339"/>
      <c r="BJ29" s="339">
        <f t="shared" si="10"/>
        <v>0</v>
      </c>
      <c r="BL29" s="339"/>
      <c r="BM29" s="339"/>
      <c r="BN29" s="339"/>
      <c r="BO29" s="339"/>
      <c r="BP29" s="339"/>
      <c r="BQ29" s="339">
        <f t="shared" si="11"/>
        <v>0</v>
      </c>
      <c r="BS29" s="339"/>
      <c r="BT29" s="339"/>
      <c r="BU29" s="339"/>
      <c r="BV29" s="339"/>
      <c r="BW29" s="339"/>
      <c r="BX29" s="339">
        <f t="shared" si="12"/>
        <v>0</v>
      </c>
      <c r="BZ29" s="339"/>
      <c r="CA29" s="339"/>
      <c r="CB29" s="339"/>
      <c r="CC29" s="339"/>
      <c r="CD29" s="339"/>
      <c r="CE29" s="339">
        <f t="shared" si="13"/>
        <v>0</v>
      </c>
      <c r="CG29" s="339"/>
      <c r="CH29" s="339"/>
      <c r="CI29" s="339"/>
      <c r="CJ29" s="339"/>
      <c r="CK29" s="339"/>
      <c r="CL29" s="339">
        <f t="shared" si="14"/>
        <v>0</v>
      </c>
      <c r="CN29" s="339"/>
      <c r="CO29" s="339"/>
      <c r="CP29" s="339"/>
      <c r="CQ29" s="339"/>
      <c r="CR29" s="339"/>
      <c r="CS29" s="339">
        <f t="shared" si="15"/>
        <v>0</v>
      </c>
      <c r="CU29" s="339"/>
      <c r="CV29" s="339"/>
      <c r="CW29" s="339"/>
      <c r="CX29" s="339"/>
      <c r="CY29" s="339"/>
      <c r="CZ29" s="339">
        <f t="shared" si="16"/>
        <v>0</v>
      </c>
      <c r="DB29" s="339"/>
      <c r="DC29" s="339"/>
      <c r="DD29" s="339"/>
      <c r="DE29" s="339"/>
      <c r="DF29" s="339"/>
      <c r="DG29" s="339">
        <f t="shared" si="17"/>
        <v>0</v>
      </c>
      <c r="DI29" s="339"/>
      <c r="DJ29" s="339"/>
      <c r="DK29" s="339"/>
      <c r="DL29" s="339"/>
      <c r="DM29" s="339"/>
      <c r="DN29" s="339">
        <f t="shared" si="18"/>
        <v>0</v>
      </c>
    </row>
    <row r="30" spans="1:118">
      <c r="A30" s="246" t="s">
        <v>693</v>
      </c>
      <c r="B30" s="398">
        <v>2</v>
      </c>
      <c r="C30" s="399" t="s">
        <v>674</v>
      </c>
      <c r="D30" s="400" t="s">
        <v>516</v>
      </c>
      <c r="E30" s="401">
        <f t="shared" si="2"/>
        <v>5.1750000000000007</v>
      </c>
      <c r="S30" s="409">
        <f t="shared" si="20"/>
        <v>6</v>
      </c>
      <c r="T30" s="409">
        <f t="shared" si="21"/>
        <v>13.8</v>
      </c>
      <c r="V30" s="339">
        <f>3.7*12</f>
        <v>44.400000000000006</v>
      </c>
      <c r="W30" s="339">
        <v>2.85</v>
      </c>
      <c r="X30" s="339"/>
      <c r="Y30" s="339"/>
      <c r="Z30" s="339"/>
      <c r="AA30" s="339">
        <f t="shared" si="5"/>
        <v>126.54000000000002</v>
      </c>
      <c r="AC30" s="339"/>
      <c r="AD30" s="339"/>
      <c r="AE30" s="339"/>
      <c r="AF30" s="339"/>
      <c r="AG30" s="339"/>
      <c r="AH30" s="339">
        <f t="shared" si="6"/>
        <v>0</v>
      </c>
      <c r="AJ30" s="339"/>
      <c r="AK30" s="339"/>
      <c r="AL30" s="339"/>
      <c r="AM30" s="339"/>
      <c r="AN30" s="339"/>
      <c r="AO30" s="339">
        <f t="shared" si="7"/>
        <v>0</v>
      </c>
      <c r="AQ30" s="339"/>
      <c r="AR30" s="339"/>
      <c r="AS30" s="339"/>
      <c r="AT30" s="339"/>
      <c r="AU30" s="339"/>
      <c r="AV30" s="339">
        <f t="shared" si="8"/>
        <v>0</v>
      </c>
      <c r="AX30" s="339"/>
      <c r="AY30" s="339"/>
      <c r="AZ30" s="339"/>
      <c r="BA30" s="339"/>
      <c r="BB30" s="339"/>
      <c r="BC30" s="339">
        <f t="shared" si="9"/>
        <v>0</v>
      </c>
      <c r="BE30" s="339"/>
      <c r="BF30" s="339"/>
      <c r="BG30" s="339"/>
      <c r="BH30" s="339"/>
      <c r="BI30" s="339"/>
      <c r="BJ30" s="339">
        <f t="shared" si="10"/>
        <v>0</v>
      </c>
      <c r="BL30" s="339"/>
      <c r="BM30" s="339"/>
      <c r="BN30" s="339"/>
      <c r="BO30" s="339"/>
      <c r="BP30" s="339"/>
      <c r="BQ30" s="339">
        <f t="shared" si="11"/>
        <v>0</v>
      </c>
      <c r="BS30" s="339"/>
      <c r="BT30" s="339"/>
      <c r="BU30" s="339"/>
      <c r="BV30" s="339"/>
      <c r="BW30" s="339"/>
      <c r="BX30" s="339">
        <f t="shared" si="12"/>
        <v>0</v>
      </c>
      <c r="BZ30" s="339"/>
      <c r="CA30" s="339"/>
      <c r="CB30" s="339"/>
      <c r="CC30" s="339"/>
      <c r="CD30" s="339"/>
      <c r="CE30" s="339">
        <f t="shared" si="13"/>
        <v>0</v>
      </c>
      <c r="CG30" s="339"/>
      <c r="CH30" s="339"/>
      <c r="CI30" s="339"/>
      <c r="CJ30" s="339"/>
      <c r="CK30" s="339"/>
      <c r="CL30" s="339">
        <f t="shared" si="14"/>
        <v>0</v>
      </c>
      <c r="CN30" s="339"/>
      <c r="CO30" s="339"/>
      <c r="CP30" s="339"/>
      <c r="CQ30" s="339"/>
      <c r="CR30" s="339"/>
      <c r="CS30" s="339">
        <f t="shared" si="15"/>
        <v>0</v>
      </c>
      <c r="CU30" s="339"/>
      <c r="CV30" s="339"/>
      <c r="CW30" s="339"/>
      <c r="CX30" s="339"/>
      <c r="CY30" s="339"/>
      <c r="CZ30" s="339">
        <f t="shared" si="16"/>
        <v>0</v>
      </c>
      <c r="DB30" s="339"/>
      <c r="DC30" s="339"/>
      <c r="DD30" s="339"/>
      <c r="DE30" s="339"/>
      <c r="DF30" s="339"/>
      <c r="DG30" s="339">
        <f t="shared" si="17"/>
        <v>0</v>
      </c>
      <c r="DI30" s="339"/>
      <c r="DJ30" s="339"/>
      <c r="DK30" s="339"/>
      <c r="DL30" s="339"/>
      <c r="DM30" s="339"/>
      <c r="DN30" s="339">
        <f t="shared" si="18"/>
        <v>0</v>
      </c>
    </row>
    <row r="31" spans="1:118">
      <c r="A31" s="246" t="s">
        <v>527</v>
      </c>
      <c r="B31" s="398">
        <v>3</v>
      </c>
      <c r="C31" s="399" t="s">
        <v>665</v>
      </c>
      <c r="D31" s="400" t="s">
        <v>516</v>
      </c>
      <c r="E31" s="401">
        <f t="shared" si="2"/>
        <v>6.5625</v>
      </c>
      <c r="S31" s="409">
        <f t="shared" si="20"/>
        <v>9</v>
      </c>
      <c r="T31" s="409">
        <f t="shared" si="21"/>
        <v>26.25</v>
      </c>
      <c r="V31" s="339">
        <f>1.95*6</f>
        <v>11.7</v>
      </c>
      <c r="W31" s="339">
        <v>2.85</v>
      </c>
      <c r="X31" s="339"/>
      <c r="Y31" s="339"/>
      <c r="Z31" s="339"/>
      <c r="AA31" s="339">
        <f t="shared" si="5"/>
        <v>33.344999999999999</v>
      </c>
      <c r="AC31" s="339"/>
      <c r="AD31" s="339"/>
      <c r="AE31" s="339"/>
      <c r="AF31" s="339"/>
      <c r="AG31" s="339"/>
      <c r="AH31" s="339">
        <f t="shared" si="6"/>
        <v>0</v>
      </c>
      <c r="AJ31" s="339"/>
      <c r="AK31" s="339"/>
      <c r="AL31" s="339"/>
      <c r="AM31" s="339"/>
      <c r="AN31" s="339"/>
      <c r="AO31" s="339">
        <f t="shared" si="7"/>
        <v>0</v>
      </c>
      <c r="AQ31" s="339"/>
      <c r="AR31" s="339"/>
      <c r="AS31" s="339"/>
      <c r="AT31" s="339"/>
      <c r="AU31" s="339"/>
      <c r="AV31" s="339">
        <f t="shared" si="8"/>
        <v>0</v>
      </c>
      <c r="AX31" s="339"/>
      <c r="AY31" s="339"/>
      <c r="AZ31" s="339"/>
      <c r="BA31" s="339"/>
      <c r="BB31" s="339"/>
      <c r="BC31" s="339">
        <f t="shared" si="9"/>
        <v>0</v>
      </c>
      <c r="BE31" s="339"/>
      <c r="BF31" s="339"/>
      <c r="BG31" s="339"/>
      <c r="BH31" s="339"/>
      <c r="BI31" s="339"/>
      <c r="BJ31" s="339">
        <f t="shared" si="10"/>
        <v>0</v>
      </c>
      <c r="BL31" s="339"/>
      <c r="BM31" s="339"/>
      <c r="BN31" s="339"/>
      <c r="BO31" s="339"/>
      <c r="BP31" s="339"/>
      <c r="BQ31" s="339">
        <f t="shared" si="11"/>
        <v>0</v>
      </c>
      <c r="BS31" s="339"/>
      <c r="BT31" s="339"/>
      <c r="BU31" s="339"/>
      <c r="BV31" s="339"/>
      <c r="BW31" s="339"/>
      <c r="BX31" s="339">
        <f t="shared" si="12"/>
        <v>0</v>
      </c>
      <c r="BZ31" s="339"/>
      <c r="CA31" s="339"/>
      <c r="CB31" s="339"/>
      <c r="CC31" s="339"/>
      <c r="CD31" s="339"/>
      <c r="CE31" s="339">
        <f t="shared" si="13"/>
        <v>0</v>
      </c>
      <c r="CG31" s="339"/>
      <c r="CH31" s="339"/>
      <c r="CI31" s="339"/>
      <c r="CJ31" s="339"/>
      <c r="CK31" s="339"/>
      <c r="CL31" s="339">
        <f t="shared" si="14"/>
        <v>0</v>
      </c>
      <c r="CN31" s="339"/>
      <c r="CO31" s="339"/>
      <c r="CP31" s="339"/>
      <c r="CQ31" s="339"/>
      <c r="CR31" s="339"/>
      <c r="CS31" s="339">
        <f t="shared" si="15"/>
        <v>0</v>
      </c>
      <c r="CU31" s="339"/>
      <c r="CV31" s="339"/>
      <c r="CW31" s="339"/>
      <c r="CX31" s="339"/>
      <c r="CY31" s="339"/>
      <c r="CZ31" s="339">
        <f t="shared" si="16"/>
        <v>0</v>
      </c>
      <c r="DB31" s="339"/>
      <c r="DC31" s="339"/>
      <c r="DD31" s="339"/>
      <c r="DE31" s="339"/>
      <c r="DF31" s="339"/>
      <c r="DG31" s="339">
        <f t="shared" si="17"/>
        <v>0</v>
      </c>
      <c r="DI31" s="339"/>
      <c r="DJ31" s="339"/>
      <c r="DK31" s="339"/>
      <c r="DL31" s="339"/>
      <c r="DM31" s="339"/>
      <c r="DN31" s="339">
        <f t="shared" si="18"/>
        <v>0</v>
      </c>
    </row>
    <row r="32" spans="1:118">
      <c r="A32" s="246" t="s">
        <v>697</v>
      </c>
      <c r="B32" s="398">
        <v>4</v>
      </c>
      <c r="C32" s="399" t="s">
        <v>516</v>
      </c>
      <c r="D32" s="400" t="s">
        <v>516</v>
      </c>
      <c r="E32" s="401">
        <f t="shared" si="2"/>
        <v>2.25</v>
      </c>
      <c r="S32" s="409">
        <f t="shared" si="20"/>
        <v>12</v>
      </c>
      <c r="T32" s="409">
        <f t="shared" si="21"/>
        <v>12</v>
      </c>
      <c r="V32" s="339">
        <v>3.7</v>
      </c>
      <c r="W32" s="339">
        <v>2.85</v>
      </c>
      <c r="X32" s="339"/>
      <c r="Y32" s="339" t="s">
        <v>707</v>
      </c>
      <c r="Z32" s="339">
        <f>K4</f>
        <v>2.75</v>
      </c>
      <c r="AA32" s="339">
        <f t="shared" si="5"/>
        <v>7.7950000000000017</v>
      </c>
      <c r="AC32" s="339"/>
      <c r="AD32" s="339"/>
      <c r="AE32" s="339"/>
      <c r="AF32" s="339"/>
      <c r="AG32" s="339"/>
      <c r="AH32" s="339">
        <f t="shared" si="6"/>
        <v>0</v>
      </c>
      <c r="AJ32" s="339"/>
      <c r="AK32" s="339"/>
      <c r="AL32" s="339"/>
      <c r="AM32" s="339"/>
      <c r="AN32" s="339"/>
      <c r="AO32" s="339">
        <f t="shared" si="7"/>
        <v>0</v>
      </c>
      <c r="AQ32" s="339"/>
      <c r="AR32" s="339"/>
      <c r="AS32" s="339"/>
      <c r="AT32" s="339"/>
      <c r="AU32" s="339"/>
      <c r="AV32" s="339">
        <f t="shared" si="8"/>
        <v>0</v>
      </c>
      <c r="AX32" s="339"/>
      <c r="AY32" s="339"/>
      <c r="AZ32" s="339"/>
      <c r="BA32" s="339"/>
      <c r="BB32" s="339"/>
      <c r="BC32" s="339">
        <f t="shared" si="9"/>
        <v>0</v>
      </c>
      <c r="BE32" s="339"/>
      <c r="BF32" s="339"/>
      <c r="BG32" s="339"/>
      <c r="BH32" s="339"/>
      <c r="BI32" s="339"/>
      <c r="BJ32" s="339">
        <f t="shared" si="10"/>
        <v>0</v>
      </c>
      <c r="BL32" s="339"/>
      <c r="BM32" s="339"/>
      <c r="BN32" s="339"/>
      <c r="BO32" s="339"/>
      <c r="BP32" s="339"/>
      <c r="BQ32" s="339">
        <f t="shared" si="11"/>
        <v>0</v>
      </c>
      <c r="BS32" s="339"/>
      <c r="BT32" s="339"/>
      <c r="BU32" s="339"/>
      <c r="BV32" s="339"/>
      <c r="BW32" s="339"/>
      <c r="BX32" s="339">
        <f t="shared" si="12"/>
        <v>0</v>
      </c>
      <c r="BZ32" s="339"/>
      <c r="CA32" s="339"/>
      <c r="CB32" s="339"/>
      <c r="CC32" s="339"/>
      <c r="CD32" s="339"/>
      <c r="CE32" s="339">
        <f t="shared" si="13"/>
        <v>0</v>
      </c>
      <c r="CG32" s="339"/>
      <c r="CH32" s="339"/>
      <c r="CI32" s="339"/>
      <c r="CJ32" s="339"/>
      <c r="CK32" s="339"/>
      <c r="CL32" s="339">
        <f t="shared" si="14"/>
        <v>0</v>
      </c>
      <c r="CN32" s="339"/>
      <c r="CO32" s="339"/>
      <c r="CP32" s="339"/>
      <c r="CQ32" s="339"/>
      <c r="CR32" s="339"/>
      <c r="CS32" s="339">
        <f t="shared" si="15"/>
        <v>0</v>
      </c>
      <c r="CU32" s="339"/>
      <c r="CV32" s="339"/>
      <c r="CW32" s="339"/>
      <c r="CX32" s="339"/>
      <c r="CY32" s="339"/>
      <c r="CZ32" s="339">
        <f t="shared" si="16"/>
        <v>0</v>
      </c>
      <c r="DB32" s="339"/>
      <c r="DC32" s="339"/>
      <c r="DD32" s="339"/>
      <c r="DE32" s="339"/>
      <c r="DF32" s="339"/>
      <c r="DG32" s="339">
        <f t="shared" si="17"/>
        <v>0</v>
      </c>
      <c r="DI32" s="339"/>
      <c r="DJ32" s="339"/>
      <c r="DK32" s="339"/>
      <c r="DL32" s="339"/>
      <c r="DM32" s="339"/>
      <c r="DN32" s="339">
        <f t="shared" si="18"/>
        <v>0</v>
      </c>
    </row>
    <row r="33" spans="19:118">
      <c r="S33" s="412"/>
      <c r="T33" s="417"/>
      <c r="V33" s="339">
        <v>3.7</v>
      </c>
      <c r="W33" s="339">
        <v>2.85</v>
      </c>
      <c r="X33" s="339"/>
      <c r="Y33" s="339" t="s">
        <v>707</v>
      </c>
      <c r="Z33" s="339">
        <f>K4</f>
        <v>2.75</v>
      </c>
      <c r="AA33" s="339">
        <f t="shared" si="5"/>
        <v>7.7950000000000017</v>
      </c>
      <c r="AC33" s="339"/>
      <c r="AD33" s="339"/>
      <c r="AE33" s="339"/>
      <c r="AF33" s="339"/>
      <c r="AG33" s="339"/>
      <c r="AH33" s="339">
        <f t="shared" si="6"/>
        <v>0</v>
      </c>
      <c r="AJ33" s="339"/>
      <c r="AK33" s="339"/>
      <c r="AL33" s="339"/>
      <c r="AM33" s="339"/>
      <c r="AN33" s="339"/>
      <c r="AO33" s="339">
        <f t="shared" si="7"/>
        <v>0</v>
      </c>
      <c r="AQ33" s="339"/>
      <c r="AR33" s="339"/>
      <c r="AS33" s="339"/>
      <c r="AT33" s="339"/>
      <c r="AU33" s="339"/>
      <c r="AV33" s="339">
        <f t="shared" si="8"/>
        <v>0</v>
      </c>
      <c r="AX33" s="339"/>
      <c r="AY33" s="339"/>
      <c r="AZ33" s="339"/>
      <c r="BA33" s="339"/>
      <c r="BB33" s="339"/>
      <c r="BC33" s="339">
        <f t="shared" si="9"/>
        <v>0</v>
      </c>
      <c r="BE33" s="339"/>
      <c r="BF33" s="339"/>
      <c r="BG33" s="339"/>
      <c r="BH33" s="339"/>
      <c r="BI33" s="339"/>
      <c r="BJ33" s="339">
        <f t="shared" si="10"/>
        <v>0</v>
      </c>
      <c r="BL33" s="339"/>
      <c r="BM33" s="339"/>
      <c r="BN33" s="339"/>
      <c r="BO33" s="339"/>
      <c r="BP33" s="339"/>
      <c r="BQ33" s="339">
        <f t="shared" si="11"/>
        <v>0</v>
      </c>
      <c r="BS33" s="339"/>
      <c r="BT33" s="339"/>
      <c r="BU33" s="339"/>
      <c r="BV33" s="339"/>
      <c r="BW33" s="339"/>
      <c r="BX33" s="339">
        <f t="shared" si="12"/>
        <v>0</v>
      </c>
      <c r="BZ33" s="339"/>
      <c r="CA33" s="339"/>
      <c r="CB33" s="339"/>
      <c r="CC33" s="339"/>
      <c r="CD33" s="339"/>
      <c r="CE33" s="339">
        <f t="shared" si="13"/>
        <v>0</v>
      </c>
      <c r="CG33" s="339"/>
      <c r="CH33" s="339"/>
      <c r="CI33" s="339"/>
      <c r="CJ33" s="339"/>
      <c r="CK33" s="339"/>
      <c r="CL33" s="339">
        <f t="shared" si="14"/>
        <v>0</v>
      </c>
      <c r="CN33" s="339"/>
      <c r="CO33" s="339"/>
      <c r="CP33" s="339"/>
      <c r="CQ33" s="339"/>
      <c r="CR33" s="339"/>
      <c r="CS33" s="339">
        <f t="shared" si="15"/>
        <v>0</v>
      </c>
      <c r="CU33" s="339"/>
      <c r="CV33" s="339"/>
      <c r="CW33" s="339"/>
      <c r="CX33" s="339"/>
      <c r="CY33" s="339"/>
      <c r="CZ33" s="339">
        <f t="shared" si="16"/>
        <v>0</v>
      </c>
      <c r="DB33" s="339"/>
      <c r="DC33" s="339"/>
      <c r="DD33" s="339"/>
      <c r="DE33" s="339"/>
      <c r="DF33" s="339"/>
      <c r="DG33" s="339">
        <f t="shared" si="17"/>
        <v>0</v>
      </c>
      <c r="DI33" s="339"/>
      <c r="DJ33" s="339"/>
      <c r="DK33" s="339"/>
      <c r="DL33" s="339"/>
      <c r="DM33" s="339"/>
      <c r="DN33" s="339">
        <f t="shared" si="18"/>
        <v>0</v>
      </c>
    </row>
    <row r="34" spans="19:118">
      <c r="S34" s="412"/>
      <c r="T34" s="417"/>
      <c r="V34" s="339">
        <v>3.7</v>
      </c>
      <c r="W34" s="339">
        <v>2.85</v>
      </c>
      <c r="X34" s="339"/>
      <c r="Y34" s="339" t="s">
        <v>707</v>
      </c>
      <c r="Z34" s="339">
        <f>K4</f>
        <v>2.75</v>
      </c>
      <c r="AA34" s="339">
        <f t="shared" si="5"/>
        <v>7.7950000000000017</v>
      </c>
      <c r="AC34" s="339"/>
      <c r="AD34" s="339"/>
      <c r="AE34" s="339"/>
      <c r="AF34" s="339"/>
      <c r="AG34" s="339"/>
      <c r="AH34" s="339">
        <f t="shared" si="6"/>
        <v>0</v>
      </c>
      <c r="AJ34" s="339"/>
      <c r="AK34" s="339"/>
      <c r="AL34" s="339"/>
      <c r="AM34" s="339"/>
      <c r="AN34" s="339"/>
      <c r="AO34" s="339">
        <f t="shared" si="7"/>
        <v>0</v>
      </c>
      <c r="AQ34" s="339"/>
      <c r="AR34" s="339"/>
      <c r="AS34" s="339"/>
      <c r="AT34" s="339"/>
      <c r="AU34" s="339"/>
      <c r="AV34" s="339">
        <f t="shared" si="8"/>
        <v>0</v>
      </c>
      <c r="AX34" s="339"/>
      <c r="AY34" s="339"/>
      <c r="AZ34" s="339"/>
      <c r="BA34" s="339"/>
      <c r="BB34" s="339"/>
      <c r="BC34" s="339">
        <f t="shared" si="9"/>
        <v>0</v>
      </c>
      <c r="BE34" s="339"/>
      <c r="BF34" s="339"/>
      <c r="BG34" s="339"/>
      <c r="BH34" s="339"/>
      <c r="BI34" s="339"/>
      <c r="BJ34" s="339">
        <f t="shared" si="10"/>
        <v>0</v>
      </c>
      <c r="BL34" s="339"/>
      <c r="BM34" s="339"/>
      <c r="BN34" s="339"/>
      <c r="BO34" s="339"/>
      <c r="BP34" s="339"/>
      <c r="BQ34" s="339">
        <f t="shared" si="11"/>
        <v>0</v>
      </c>
      <c r="BS34" s="339"/>
      <c r="BT34" s="339"/>
      <c r="BU34" s="339"/>
      <c r="BV34" s="339"/>
      <c r="BW34" s="339"/>
      <c r="BX34" s="339">
        <f t="shared" si="12"/>
        <v>0</v>
      </c>
      <c r="BZ34" s="339"/>
      <c r="CA34" s="339"/>
      <c r="CB34" s="339"/>
      <c r="CC34" s="339"/>
      <c r="CD34" s="339"/>
      <c r="CE34" s="339">
        <f t="shared" si="13"/>
        <v>0</v>
      </c>
      <c r="CG34" s="339"/>
      <c r="CH34" s="339"/>
      <c r="CI34" s="339"/>
      <c r="CJ34" s="339"/>
      <c r="CK34" s="339"/>
      <c r="CL34" s="339">
        <f t="shared" si="14"/>
        <v>0</v>
      </c>
      <c r="CN34" s="339"/>
      <c r="CO34" s="339"/>
      <c r="CP34" s="339"/>
      <c r="CQ34" s="339"/>
      <c r="CR34" s="339"/>
      <c r="CS34" s="339">
        <f t="shared" si="15"/>
        <v>0</v>
      </c>
      <c r="CU34" s="339"/>
      <c r="CV34" s="339"/>
      <c r="CW34" s="339"/>
      <c r="CX34" s="339"/>
      <c r="CY34" s="339"/>
      <c r="CZ34" s="339">
        <f t="shared" si="16"/>
        <v>0</v>
      </c>
      <c r="DB34" s="339"/>
      <c r="DC34" s="339"/>
      <c r="DD34" s="339"/>
      <c r="DE34" s="339"/>
      <c r="DF34" s="339"/>
      <c r="DG34" s="339">
        <f t="shared" si="17"/>
        <v>0</v>
      </c>
      <c r="DI34" s="339"/>
      <c r="DJ34" s="339"/>
      <c r="DK34" s="339"/>
      <c r="DL34" s="339"/>
      <c r="DM34" s="339"/>
      <c r="DN34" s="339">
        <f t="shared" si="18"/>
        <v>0</v>
      </c>
    </row>
    <row r="35" spans="19:118">
      <c r="S35" s="412"/>
      <c r="T35" s="417"/>
      <c r="V35" s="339">
        <v>3.7</v>
      </c>
      <c r="W35" s="339">
        <v>2.85</v>
      </c>
      <c r="X35" s="339"/>
      <c r="Y35" s="339" t="s">
        <v>707</v>
      </c>
      <c r="Z35" s="339">
        <f>K4</f>
        <v>2.75</v>
      </c>
      <c r="AA35" s="339">
        <f t="shared" si="5"/>
        <v>7.7950000000000017</v>
      </c>
      <c r="AC35" s="339"/>
      <c r="AD35" s="339"/>
      <c r="AE35" s="339"/>
      <c r="AF35" s="339"/>
      <c r="AG35" s="339"/>
      <c r="AH35" s="339">
        <f t="shared" si="6"/>
        <v>0</v>
      </c>
      <c r="AJ35" s="339"/>
      <c r="AK35" s="339"/>
      <c r="AL35" s="339"/>
      <c r="AM35" s="339"/>
      <c r="AN35" s="339"/>
      <c r="AO35" s="339">
        <f t="shared" si="7"/>
        <v>0</v>
      </c>
      <c r="AQ35" s="339"/>
      <c r="AR35" s="339"/>
      <c r="AS35" s="339"/>
      <c r="AT35" s="339"/>
      <c r="AU35" s="339"/>
      <c r="AV35" s="339">
        <f t="shared" si="8"/>
        <v>0</v>
      </c>
      <c r="AX35" s="339"/>
      <c r="AY35" s="339"/>
      <c r="AZ35" s="339"/>
      <c r="BA35" s="339"/>
      <c r="BB35" s="339"/>
      <c r="BC35" s="339">
        <f t="shared" si="9"/>
        <v>0</v>
      </c>
      <c r="BE35" s="339"/>
      <c r="BF35" s="339"/>
      <c r="BG35" s="339"/>
      <c r="BH35" s="339"/>
      <c r="BI35" s="339"/>
      <c r="BJ35" s="339">
        <f t="shared" si="10"/>
        <v>0</v>
      </c>
      <c r="BL35" s="339"/>
      <c r="BM35" s="339"/>
      <c r="BN35" s="339"/>
      <c r="BO35" s="339"/>
      <c r="BP35" s="339"/>
      <c r="BQ35" s="339">
        <f t="shared" si="11"/>
        <v>0</v>
      </c>
      <c r="BS35" s="339"/>
      <c r="BT35" s="339"/>
      <c r="BU35" s="339"/>
      <c r="BV35" s="339"/>
      <c r="BW35" s="339"/>
      <c r="BX35" s="339">
        <f t="shared" si="12"/>
        <v>0</v>
      </c>
      <c r="BZ35" s="339"/>
      <c r="CA35" s="339"/>
      <c r="CB35" s="339"/>
      <c r="CC35" s="339"/>
      <c r="CD35" s="339"/>
      <c r="CE35" s="339">
        <f t="shared" si="13"/>
        <v>0</v>
      </c>
      <c r="CG35" s="339"/>
      <c r="CH35" s="339"/>
      <c r="CI35" s="339"/>
      <c r="CJ35" s="339"/>
      <c r="CK35" s="339"/>
      <c r="CL35" s="339">
        <f t="shared" si="14"/>
        <v>0</v>
      </c>
      <c r="CN35" s="339"/>
      <c r="CO35" s="339"/>
      <c r="CP35" s="339"/>
      <c r="CQ35" s="339"/>
      <c r="CR35" s="339"/>
      <c r="CS35" s="339">
        <f t="shared" si="15"/>
        <v>0</v>
      </c>
      <c r="CU35" s="339"/>
      <c r="CV35" s="339"/>
      <c r="CW35" s="339"/>
      <c r="CX35" s="339"/>
      <c r="CY35" s="339"/>
      <c r="CZ35" s="339">
        <f t="shared" si="16"/>
        <v>0</v>
      </c>
      <c r="DB35" s="339"/>
      <c r="DC35" s="339"/>
      <c r="DD35" s="339"/>
      <c r="DE35" s="339"/>
      <c r="DF35" s="339"/>
      <c r="DG35" s="339">
        <f t="shared" si="17"/>
        <v>0</v>
      </c>
      <c r="DI35" s="339"/>
      <c r="DJ35" s="339"/>
      <c r="DK35" s="339"/>
      <c r="DL35" s="339"/>
      <c r="DM35" s="339"/>
      <c r="DN35" s="339">
        <f t="shared" si="18"/>
        <v>0</v>
      </c>
    </row>
    <row r="36" spans="19:118">
      <c r="S36" s="417"/>
      <c r="T36" s="417"/>
      <c r="V36" s="339">
        <v>15.9</v>
      </c>
      <c r="W36" s="339">
        <v>2.85</v>
      </c>
      <c r="X36" s="339"/>
      <c r="Y36" s="339" t="s">
        <v>708</v>
      </c>
      <c r="Z36" s="339">
        <f>Q5*4</f>
        <v>15.299999999999999</v>
      </c>
      <c r="AA36" s="339">
        <f t="shared" si="5"/>
        <v>30.015000000000008</v>
      </c>
      <c r="AC36" s="339"/>
      <c r="AD36" s="339"/>
      <c r="AE36" s="339"/>
      <c r="AF36" s="339"/>
      <c r="AG36" s="339"/>
      <c r="AH36" s="339">
        <f t="shared" si="6"/>
        <v>0</v>
      </c>
      <c r="AJ36" s="339"/>
      <c r="AK36" s="339"/>
      <c r="AL36" s="339"/>
      <c r="AM36" s="339"/>
      <c r="AN36" s="339"/>
      <c r="AO36" s="339">
        <f t="shared" si="7"/>
        <v>0</v>
      </c>
      <c r="AQ36" s="339"/>
      <c r="AR36" s="339"/>
      <c r="AS36" s="339"/>
      <c r="AT36" s="339"/>
      <c r="AU36" s="339"/>
      <c r="AV36" s="339">
        <f t="shared" si="8"/>
        <v>0</v>
      </c>
      <c r="AX36" s="339"/>
      <c r="AY36" s="339"/>
      <c r="AZ36" s="339"/>
      <c r="BA36" s="339"/>
      <c r="BB36" s="339"/>
      <c r="BC36" s="339">
        <f t="shared" si="9"/>
        <v>0</v>
      </c>
      <c r="BE36" s="339"/>
      <c r="BF36" s="339"/>
      <c r="BG36" s="339"/>
      <c r="BH36" s="339"/>
      <c r="BI36" s="339"/>
      <c r="BJ36" s="339">
        <f t="shared" si="10"/>
        <v>0</v>
      </c>
      <c r="BL36" s="339"/>
      <c r="BM36" s="339"/>
      <c r="BN36" s="339"/>
      <c r="BO36" s="339"/>
      <c r="BP36" s="339"/>
      <c r="BQ36" s="339">
        <f t="shared" si="11"/>
        <v>0</v>
      </c>
      <c r="BS36" s="339"/>
      <c r="BT36" s="339"/>
      <c r="BU36" s="339"/>
      <c r="BV36" s="339"/>
      <c r="BW36" s="339"/>
      <c r="BX36" s="339">
        <f t="shared" si="12"/>
        <v>0</v>
      </c>
      <c r="BZ36" s="339"/>
      <c r="CA36" s="339"/>
      <c r="CB36" s="339"/>
      <c r="CC36" s="339"/>
      <c r="CD36" s="339"/>
      <c r="CE36" s="339">
        <f t="shared" si="13"/>
        <v>0</v>
      </c>
      <c r="CG36" s="339"/>
      <c r="CH36" s="339"/>
      <c r="CI36" s="339"/>
      <c r="CJ36" s="339"/>
      <c r="CK36" s="339"/>
      <c r="CL36" s="339">
        <f t="shared" si="14"/>
        <v>0</v>
      </c>
      <c r="CN36" s="339"/>
      <c r="CO36" s="339"/>
      <c r="CP36" s="339"/>
      <c r="CQ36" s="339"/>
      <c r="CR36" s="339"/>
      <c r="CS36" s="339">
        <f t="shared" si="15"/>
        <v>0</v>
      </c>
      <c r="CU36" s="339"/>
      <c r="CV36" s="339"/>
      <c r="CW36" s="339"/>
      <c r="CX36" s="339"/>
      <c r="CY36" s="339"/>
      <c r="CZ36" s="339">
        <f t="shared" si="16"/>
        <v>0</v>
      </c>
      <c r="DB36" s="339"/>
      <c r="DC36" s="339"/>
      <c r="DD36" s="339"/>
      <c r="DE36" s="339"/>
      <c r="DF36" s="339"/>
      <c r="DG36" s="339">
        <f t="shared" si="17"/>
        <v>0</v>
      </c>
      <c r="DI36" s="339"/>
      <c r="DJ36" s="339"/>
      <c r="DK36" s="339"/>
      <c r="DL36" s="339"/>
      <c r="DM36" s="339"/>
      <c r="DN36" s="339">
        <f t="shared" si="18"/>
        <v>0</v>
      </c>
    </row>
    <row r="37" spans="19:118">
      <c r="S37" s="417"/>
      <c r="T37" s="417"/>
      <c r="V37" s="339">
        <v>2.2000000000000002</v>
      </c>
      <c r="W37" s="339">
        <v>3.8</v>
      </c>
      <c r="X37" s="339"/>
      <c r="Y37" s="339"/>
      <c r="Z37" s="339"/>
      <c r="AA37" s="339">
        <f t="shared" si="5"/>
        <v>8.36</v>
      </c>
      <c r="AC37" s="339"/>
      <c r="AD37" s="339"/>
      <c r="AE37" s="339"/>
      <c r="AF37" s="339"/>
      <c r="AG37" s="339"/>
      <c r="AH37" s="339">
        <f t="shared" si="6"/>
        <v>0</v>
      </c>
      <c r="AJ37" s="339"/>
      <c r="AK37" s="339"/>
      <c r="AL37" s="339"/>
      <c r="AM37" s="339"/>
      <c r="AN37" s="339"/>
      <c r="AO37" s="339">
        <f t="shared" si="7"/>
        <v>0</v>
      </c>
      <c r="AQ37" s="339"/>
      <c r="AR37" s="339"/>
      <c r="AS37" s="339"/>
      <c r="AT37" s="339"/>
      <c r="AU37" s="339"/>
      <c r="AV37" s="339">
        <f t="shared" si="8"/>
        <v>0</v>
      </c>
      <c r="AX37" s="339"/>
      <c r="AY37" s="339"/>
      <c r="AZ37" s="339"/>
      <c r="BA37" s="339"/>
      <c r="BB37" s="339"/>
      <c r="BC37" s="339">
        <f t="shared" si="9"/>
        <v>0</v>
      </c>
      <c r="BE37" s="339"/>
      <c r="BF37" s="339"/>
      <c r="BG37" s="339"/>
      <c r="BH37" s="339"/>
      <c r="BI37" s="339"/>
      <c r="BJ37" s="339">
        <f t="shared" si="10"/>
        <v>0</v>
      </c>
      <c r="BL37" s="339"/>
      <c r="BM37" s="339"/>
      <c r="BN37" s="339"/>
      <c r="BO37" s="339"/>
      <c r="BP37" s="339"/>
      <c r="BQ37" s="339">
        <f t="shared" si="11"/>
        <v>0</v>
      </c>
      <c r="BS37" s="339"/>
      <c r="BT37" s="339"/>
      <c r="BU37" s="339"/>
      <c r="BV37" s="339"/>
      <c r="BW37" s="339"/>
      <c r="BX37" s="339">
        <f t="shared" si="12"/>
        <v>0</v>
      </c>
      <c r="BZ37" s="339"/>
      <c r="CA37" s="339"/>
      <c r="CB37" s="339"/>
      <c r="CC37" s="339"/>
      <c r="CD37" s="339"/>
      <c r="CE37" s="339">
        <f t="shared" si="13"/>
        <v>0</v>
      </c>
      <c r="CG37" s="339"/>
      <c r="CH37" s="339"/>
      <c r="CI37" s="339"/>
      <c r="CJ37" s="339"/>
      <c r="CK37" s="339"/>
      <c r="CL37" s="339">
        <f t="shared" si="14"/>
        <v>0</v>
      </c>
      <c r="CN37" s="339"/>
      <c r="CO37" s="339"/>
      <c r="CP37" s="339"/>
      <c r="CQ37" s="339"/>
      <c r="CR37" s="339"/>
      <c r="CS37" s="339">
        <f t="shared" si="15"/>
        <v>0</v>
      </c>
      <c r="CU37" s="339"/>
      <c r="CV37" s="339"/>
      <c r="CW37" s="339"/>
      <c r="CX37" s="339"/>
      <c r="CY37" s="339"/>
      <c r="CZ37" s="339">
        <f t="shared" si="16"/>
        <v>0</v>
      </c>
      <c r="DB37" s="339"/>
      <c r="DC37" s="339"/>
      <c r="DD37" s="339"/>
      <c r="DE37" s="339"/>
      <c r="DF37" s="339"/>
      <c r="DG37" s="339">
        <f t="shared" si="17"/>
        <v>0</v>
      </c>
      <c r="DI37" s="339"/>
      <c r="DJ37" s="339"/>
      <c r="DK37" s="339"/>
      <c r="DL37" s="339"/>
      <c r="DM37" s="339"/>
      <c r="DN37" s="339">
        <f t="shared" si="18"/>
        <v>0</v>
      </c>
    </row>
    <row r="38" spans="19:118">
      <c r="S38" s="417"/>
      <c r="T38" s="417"/>
      <c r="V38" s="339">
        <v>2.2000000000000002</v>
      </c>
      <c r="W38" s="339">
        <v>3.8</v>
      </c>
      <c r="X38" s="339"/>
      <c r="Y38" s="339"/>
      <c r="Z38" s="339"/>
      <c r="AA38" s="339">
        <f t="shared" si="5"/>
        <v>8.36</v>
      </c>
      <c r="AC38" s="339"/>
      <c r="AD38" s="339"/>
      <c r="AE38" s="339"/>
      <c r="AF38" s="339"/>
      <c r="AG38" s="339"/>
      <c r="AH38" s="339">
        <f t="shared" si="6"/>
        <v>0</v>
      </c>
      <c r="AJ38" s="339"/>
      <c r="AK38" s="339"/>
      <c r="AL38" s="339"/>
      <c r="AM38" s="339"/>
      <c r="AN38" s="339"/>
      <c r="AO38" s="339">
        <f t="shared" si="7"/>
        <v>0</v>
      </c>
      <c r="AQ38" s="339"/>
      <c r="AR38" s="339"/>
      <c r="AS38" s="339"/>
      <c r="AT38" s="339"/>
      <c r="AU38" s="339"/>
      <c r="AV38" s="339">
        <f t="shared" si="8"/>
        <v>0</v>
      </c>
      <c r="AX38" s="339"/>
      <c r="AY38" s="339"/>
      <c r="AZ38" s="339"/>
      <c r="BA38" s="339"/>
      <c r="BB38" s="339"/>
      <c r="BC38" s="339">
        <f t="shared" si="9"/>
        <v>0</v>
      </c>
      <c r="BE38" s="339"/>
      <c r="BF38" s="339"/>
      <c r="BG38" s="339"/>
      <c r="BH38" s="339"/>
      <c r="BI38" s="339"/>
      <c r="BJ38" s="339">
        <f t="shared" si="10"/>
        <v>0</v>
      </c>
      <c r="BL38" s="339"/>
      <c r="BM38" s="339"/>
      <c r="BN38" s="339"/>
      <c r="BO38" s="339"/>
      <c r="BP38" s="339"/>
      <c r="BQ38" s="339">
        <f t="shared" si="11"/>
        <v>0</v>
      </c>
      <c r="BS38" s="339"/>
      <c r="BT38" s="339"/>
      <c r="BU38" s="339"/>
      <c r="BV38" s="339"/>
      <c r="BW38" s="339"/>
      <c r="BX38" s="339">
        <f t="shared" si="12"/>
        <v>0</v>
      </c>
      <c r="BZ38" s="339"/>
      <c r="CA38" s="339"/>
      <c r="CB38" s="339"/>
      <c r="CC38" s="339"/>
      <c r="CD38" s="339"/>
      <c r="CE38" s="339">
        <f t="shared" si="13"/>
        <v>0</v>
      </c>
      <c r="CG38" s="339"/>
      <c r="CH38" s="339"/>
      <c r="CI38" s="339"/>
      <c r="CJ38" s="339"/>
      <c r="CK38" s="339"/>
      <c r="CL38" s="339">
        <f t="shared" si="14"/>
        <v>0</v>
      </c>
      <c r="CN38" s="339"/>
      <c r="CO38" s="339"/>
      <c r="CP38" s="339"/>
      <c r="CQ38" s="339"/>
      <c r="CR38" s="339"/>
      <c r="CS38" s="339">
        <f t="shared" si="15"/>
        <v>0</v>
      </c>
      <c r="CU38" s="339"/>
      <c r="CV38" s="339"/>
      <c r="CW38" s="339"/>
      <c r="CX38" s="339"/>
      <c r="CY38" s="339"/>
      <c r="CZ38" s="339">
        <f t="shared" si="16"/>
        <v>0</v>
      </c>
      <c r="DB38" s="339"/>
      <c r="DC38" s="339"/>
      <c r="DD38" s="339"/>
      <c r="DE38" s="339"/>
      <c r="DF38" s="339"/>
      <c r="DG38" s="339">
        <f t="shared" si="17"/>
        <v>0</v>
      </c>
      <c r="DI38" s="339"/>
      <c r="DJ38" s="339"/>
      <c r="DK38" s="339"/>
      <c r="DL38" s="339"/>
      <c r="DM38" s="339"/>
      <c r="DN38" s="339">
        <f t="shared" si="18"/>
        <v>0</v>
      </c>
    </row>
    <row r="39" spans="19:118">
      <c r="S39" s="412"/>
      <c r="T39" s="412"/>
      <c r="V39" s="339">
        <v>2.2000000000000002</v>
      </c>
      <c r="W39" s="339">
        <v>3.8</v>
      </c>
      <c r="X39" s="339"/>
      <c r="Y39" s="339"/>
      <c r="Z39" s="339"/>
      <c r="AA39" s="339">
        <f t="shared" ref="AA39:AA96" si="22">V39*W39+X39-Z39</f>
        <v>8.36</v>
      </c>
      <c r="AC39" s="339"/>
      <c r="AD39" s="339"/>
      <c r="AE39" s="339"/>
      <c r="AF39" s="339"/>
      <c r="AG39" s="339"/>
      <c r="AH39" s="339">
        <f t="shared" si="6"/>
        <v>0</v>
      </c>
      <c r="AJ39" s="339"/>
      <c r="AK39" s="339"/>
      <c r="AL39" s="339"/>
      <c r="AM39" s="339"/>
      <c r="AN39" s="339"/>
      <c r="AO39" s="339">
        <f t="shared" si="7"/>
        <v>0</v>
      </c>
      <c r="AQ39" s="339"/>
      <c r="AR39" s="339"/>
      <c r="AS39" s="339"/>
      <c r="AT39" s="339"/>
      <c r="AU39" s="339"/>
      <c r="AV39" s="339">
        <f t="shared" si="8"/>
        <v>0</v>
      </c>
      <c r="AX39" s="339"/>
      <c r="AY39" s="339"/>
      <c r="AZ39" s="339"/>
      <c r="BA39" s="339"/>
      <c r="BB39" s="339"/>
      <c r="BC39" s="339">
        <f t="shared" si="9"/>
        <v>0</v>
      </c>
      <c r="BE39" s="339"/>
      <c r="BF39" s="339"/>
      <c r="BG39" s="339"/>
      <c r="BH39" s="339"/>
      <c r="BI39" s="339"/>
      <c r="BJ39" s="339">
        <f t="shared" si="10"/>
        <v>0</v>
      </c>
      <c r="BL39" s="339"/>
      <c r="BM39" s="339"/>
      <c r="BN39" s="339"/>
      <c r="BO39" s="339"/>
      <c r="BP39" s="339"/>
      <c r="BQ39" s="339">
        <f t="shared" si="11"/>
        <v>0</v>
      </c>
      <c r="BS39" s="339"/>
      <c r="BT39" s="339"/>
      <c r="BU39" s="339"/>
      <c r="BV39" s="339"/>
      <c r="BW39" s="339"/>
      <c r="BX39" s="339">
        <f t="shared" si="12"/>
        <v>0</v>
      </c>
      <c r="BZ39" s="339"/>
      <c r="CA39" s="339"/>
      <c r="CB39" s="339"/>
      <c r="CC39" s="339"/>
      <c r="CD39" s="339"/>
      <c r="CE39" s="339">
        <f t="shared" si="13"/>
        <v>0</v>
      </c>
      <c r="CG39" s="339"/>
      <c r="CH39" s="339"/>
      <c r="CI39" s="339"/>
      <c r="CJ39" s="339"/>
      <c r="CK39" s="339"/>
      <c r="CL39" s="339">
        <f t="shared" si="14"/>
        <v>0</v>
      </c>
      <c r="CN39" s="339"/>
      <c r="CO39" s="339"/>
      <c r="CP39" s="339"/>
      <c r="CQ39" s="339"/>
      <c r="CR39" s="339"/>
      <c r="CS39" s="339">
        <f t="shared" si="15"/>
        <v>0</v>
      </c>
      <c r="CU39" s="339"/>
      <c r="CV39" s="339"/>
      <c r="CW39" s="339"/>
      <c r="CX39" s="339"/>
      <c r="CY39" s="339"/>
      <c r="CZ39" s="339">
        <f t="shared" si="16"/>
        <v>0</v>
      </c>
      <c r="DB39" s="339"/>
      <c r="DC39" s="339"/>
      <c r="DD39" s="339"/>
      <c r="DE39" s="339"/>
      <c r="DF39" s="339"/>
      <c r="DG39" s="339">
        <f t="shared" si="17"/>
        <v>0</v>
      </c>
      <c r="DI39" s="339"/>
      <c r="DJ39" s="339"/>
      <c r="DK39" s="339"/>
      <c r="DL39" s="339"/>
      <c r="DM39" s="339"/>
      <c r="DN39" s="339">
        <f t="shared" si="18"/>
        <v>0</v>
      </c>
    </row>
    <row r="40" spans="19:118">
      <c r="S40" s="412"/>
      <c r="T40" s="412"/>
      <c r="V40" s="339">
        <v>2</v>
      </c>
      <c r="W40" s="339">
        <v>3.75</v>
      </c>
      <c r="X40" s="339"/>
      <c r="Y40" s="339"/>
      <c r="Z40" s="339"/>
      <c r="AA40" s="339">
        <f t="shared" si="22"/>
        <v>7.5</v>
      </c>
      <c r="AC40" s="339"/>
      <c r="AD40" s="339"/>
      <c r="AE40" s="339"/>
      <c r="AF40" s="339"/>
      <c r="AG40" s="339"/>
      <c r="AH40" s="339">
        <f t="shared" si="6"/>
        <v>0</v>
      </c>
      <c r="AJ40" s="339"/>
      <c r="AK40" s="339"/>
      <c r="AL40" s="339"/>
      <c r="AM40" s="339"/>
      <c r="AN40" s="339"/>
      <c r="AO40" s="339">
        <f t="shared" si="7"/>
        <v>0</v>
      </c>
      <c r="AQ40" s="339"/>
      <c r="AR40" s="339"/>
      <c r="AS40" s="339"/>
      <c r="AT40" s="339"/>
      <c r="AU40" s="339"/>
      <c r="AV40" s="339">
        <f t="shared" si="8"/>
        <v>0</v>
      </c>
      <c r="AX40" s="339"/>
      <c r="AY40" s="339"/>
      <c r="AZ40" s="339"/>
      <c r="BA40" s="339"/>
      <c r="BB40" s="339"/>
      <c r="BC40" s="339">
        <f t="shared" si="9"/>
        <v>0</v>
      </c>
      <c r="BE40" s="339"/>
      <c r="BF40" s="339"/>
      <c r="BG40" s="339"/>
      <c r="BH40" s="339"/>
      <c r="BI40" s="339"/>
      <c r="BJ40" s="339">
        <f t="shared" si="10"/>
        <v>0</v>
      </c>
      <c r="BL40" s="339"/>
      <c r="BM40" s="339"/>
      <c r="BN40" s="339"/>
      <c r="BO40" s="339"/>
      <c r="BP40" s="339"/>
      <c r="BQ40" s="339">
        <f t="shared" si="11"/>
        <v>0</v>
      </c>
      <c r="BS40" s="339"/>
      <c r="BT40" s="339"/>
      <c r="BU40" s="339"/>
      <c r="BV40" s="339"/>
      <c r="BW40" s="339"/>
      <c r="BX40" s="339">
        <f t="shared" si="12"/>
        <v>0</v>
      </c>
      <c r="BZ40" s="339"/>
      <c r="CA40" s="339"/>
      <c r="CB40" s="339"/>
      <c r="CC40" s="339"/>
      <c r="CD40" s="339"/>
      <c r="CE40" s="339">
        <f t="shared" si="13"/>
        <v>0</v>
      </c>
      <c r="CG40" s="339"/>
      <c r="CH40" s="339"/>
      <c r="CI40" s="339"/>
      <c r="CJ40" s="339"/>
      <c r="CK40" s="339"/>
      <c r="CL40" s="339">
        <f t="shared" si="14"/>
        <v>0</v>
      </c>
      <c r="CN40" s="339"/>
      <c r="CO40" s="339"/>
      <c r="CP40" s="339"/>
      <c r="CQ40" s="339"/>
      <c r="CR40" s="339"/>
      <c r="CS40" s="339">
        <f t="shared" si="15"/>
        <v>0</v>
      </c>
      <c r="CU40" s="339"/>
      <c r="CV40" s="339"/>
      <c r="CW40" s="339"/>
      <c r="CX40" s="339"/>
      <c r="CY40" s="339"/>
      <c r="CZ40" s="339">
        <f t="shared" si="16"/>
        <v>0</v>
      </c>
      <c r="DB40" s="339"/>
      <c r="DC40" s="339"/>
      <c r="DD40" s="339"/>
      <c r="DE40" s="339"/>
      <c r="DF40" s="339"/>
      <c r="DG40" s="339">
        <f t="shared" si="17"/>
        <v>0</v>
      </c>
      <c r="DI40" s="339"/>
      <c r="DJ40" s="339"/>
      <c r="DK40" s="339"/>
      <c r="DL40" s="339"/>
      <c r="DM40" s="339"/>
      <c r="DN40" s="339">
        <f t="shared" si="18"/>
        <v>0</v>
      </c>
    </row>
    <row r="41" spans="19:118">
      <c r="S41" s="412"/>
      <c r="T41" s="412"/>
      <c r="V41" s="339">
        <v>2</v>
      </c>
      <c r="W41" s="339">
        <v>3.75</v>
      </c>
      <c r="X41" s="339"/>
      <c r="Y41" s="339"/>
      <c r="Z41" s="339"/>
      <c r="AA41" s="339">
        <f t="shared" si="22"/>
        <v>7.5</v>
      </c>
      <c r="AC41" s="339"/>
      <c r="AD41" s="339"/>
      <c r="AE41" s="339"/>
      <c r="AF41" s="339"/>
      <c r="AG41" s="339"/>
      <c r="AH41" s="339">
        <f t="shared" si="6"/>
        <v>0</v>
      </c>
      <c r="AJ41" s="339"/>
      <c r="AK41" s="339"/>
      <c r="AL41" s="339"/>
      <c r="AM41" s="339"/>
      <c r="AN41" s="339"/>
      <c r="AO41" s="339">
        <f t="shared" si="7"/>
        <v>0</v>
      </c>
      <c r="AQ41" s="339"/>
      <c r="AR41" s="339"/>
      <c r="AS41" s="339"/>
      <c r="AT41" s="339"/>
      <c r="AU41" s="339"/>
      <c r="AV41" s="339">
        <f t="shared" si="8"/>
        <v>0</v>
      </c>
      <c r="AX41" s="339"/>
      <c r="AY41" s="339"/>
      <c r="AZ41" s="339"/>
      <c r="BA41" s="339"/>
      <c r="BB41" s="339"/>
      <c r="BC41" s="339">
        <f t="shared" si="9"/>
        <v>0</v>
      </c>
      <c r="BE41" s="339"/>
      <c r="BF41" s="339"/>
      <c r="BG41" s="339"/>
      <c r="BH41" s="339"/>
      <c r="BI41" s="339"/>
      <c r="BJ41" s="339">
        <f t="shared" si="10"/>
        <v>0</v>
      </c>
      <c r="BL41" s="339"/>
      <c r="BM41" s="339"/>
      <c r="BN41" s="339"/>
      <c r="BO41" s="339"/>
      <c r="BP41" s="339"/>
      <c r="BQ41" s="339">
        <f t="shared" si="11"/>
        <v>0</v>
      </c>
      <c r="BS41" s="339"/>
      <c r="BT41" s="339"/>
      <c r="BU41" s="339"/>
      <c r="BV41" s="339"/>
      <c r="BW41" s="339"/>
      <c r="BX41" s="339">
        <f t="shared" si="12"/>
        <v>0</v>
      </c>
      <c r="BZ41" s="339"/>
      <c r="CA41" s="339"/>
      <c r="CB41" s="339"/>
      <c r="CC41" s="339"/>
      <c r="CD41" s="339"/>
      <c r="CE41" s="339">
        <f t="shared" si="13"/>
        <v>0</v>
      </c>
      <c r="CG41" s="339"/>
      <c r="CH41" s="339"/>
      <c r="CI41" s="339"/>
      <c r="CJ41" s="339"/>
      <c r="CK41" s="339"/>
      <c r="CL41" s="339">
        <f t="shared" si="14"/>
        <v>0</v>
      </c>
      <c r="CN41" s="339"/>
      <c r="CO41" s="339"/>
      <c r="CP41" s="339"/>
      <c r="CQ41" s="339"/>
      <c r="CR41" s="339"/>
      <c r="CS41" s="339">
        <f t="shared" si="15"/>
        <v>0</v>
      </c>
      <c r="CU41" s="339"/>
      <c r="CV41" s="339"/>
      <c r="CW41" s="339"/>
      <c r="CX41" s="339"/>
      <c r="CY41" s="339"/>
      <c r="CZ41" s="339">
        <f t="shared" si="16"/>
        <v>0</v>
      </c>
      <c r="DB41" s="339"/>
      <c r="DC41" s="339"/>
      <c r="DD41" s="339"/>
      <c r="DE41" s="339"/>
      <c r="DF41" s="339"/>
      <c r="DG41" s="339">
        <f t="shared" si="17"/>
        <v>0</v>
      </c>
      <c r="DI41" s="339"/>
      <c r="DJ41" s="339"/>
      <c r="DK41" s="339"/>
      <c r="DL41" s="339"/>
      <c r="DM41" s="339"/>
      <c r="DN41" s="339">
        <f t="shared" si="18"/>
        <v>0</v>
      </c>
    </row>
    <row r="42" spans="19:118">
      <c r="S42" s="412"/>
      <c r="T42" s="412"/>
      <c r="V42" s="339">
        <v>2</v>
      </c>
      <c r="W42" s="339">
        <v>3.75</v>
      </c>
      <c r="X42" s="339"/>
      <c r="Y42" s="339"/>
      <c r="Z42" s="339"/>
      <c r="AA42" s="339">
        <f t="shared" si="22"/>
        <v>7.5</v>
      </c>
      <c r="AC42" s="339"/>
      <c r="AD42" s="339"/>
      <c r="AE42" s="339"/>
      <c r="AF42" s="339"/>
      <c r="AG42" s="339"/>
      <c r="AH42" s="339">
        <f t="shared" si="6"/>
        <v>0</v>
      </c>
      <c r="AJ42" s="339"/>
      <c r="AK42" s="339"/>
      <c r="AL42" s="339"/>
      <c r="AM42" s="339"/>
      <c r="AN42" s="339"/>
      <c r="AO42" s="339">
        <f t="shared" si="7"/>
        <v>0</v>
      </c>
      <c r="AQ42" s="339"/>
      <c r="AR42" s="339"/>
      <c r="AS42" s="339"/>
      <c r="AT42" s="339"/>
      <c r="AU42" s="339"/>
      <c r="AV42" s="339">
        <f t="shared" si="8"/>
        <v>0</v>
      </c>
      <c r="AX42" s="339"/>
      <c r="AY42" s="339"/>
      <c r="AZ42" s="339"/>
      <c r="BA42" s="339"/>
      <c r="BB42" s="339"/>
      <c r="BC42" s="339">
        <f t="shared" si="9"/>
        <v>0</v>
      </c>
      <c r="BE42" s="339"/>
      <c r="BF42" s="339"/>
      <c r="BG42" s="339"/>
      <c r="BH42" s="339"/>
      <c r="BI42" s="339"/>
      <c r="BJ42" s="339">
        <f t="shared" si="10"/>
        <v>0</v>
      </c>
      <c r="BL42" s="339"/>
      <c r="BM42" s="339"/>
      <c r="BN42" s="339"/>
      <c r="BO42" s="339"/>
      <c r="BP42" s="339"/>
      <c r="BQ42" s="339">
        <f t="shared" si="11"/>
        <v>0</v>
      </c>
      <c r="BS42" s="339"/>
      <c r="BT42" s="339"/>
      <c r="BU42" s="339"/>
      <c r="BV42" s="339"/>
      <c r="BW42" s="339"/>
      <c r="BX42" s="339">
        <f t="shared" si="12"/>
        <v>0</v>
      </c>
      <c r="BZ42" s="339"/>
      <c r="CA42" s="339"/>
      <c r="CB42" s="339"/>
      <c r="CC42" s="339"/>
      <c r="CD42" s="339"/>
      <c r="CE42" s="339">
        <f t="shared" si="13"/>
        <v>0</v>
      </c>
      <c r="CG42" s="339"/>
      <c r="CH42" s="339"/>
      <c r="CI42" s="339"/>
      <c r="CJ42" s="339"/>
      <c r="CK42" s="339"/>
      <c r="CL42" s="339">
        <f t="shared" si="14"/>
        <v>0</v>
      </c>
      <c r="CN42" s="339"/>
      <c r="CO42" s="339"/>
      <c r="CP42" s="339"/>
      <c r="CQ42" s="339"/>
      <c r="CR42" s="339"/>
      <c r="CS42" s="339">
        <f t="shared" si="15"/>
        <v>0</v>
      </c>
      <c r="CU42" s="339"/>
      <c r="CV42" s="339"/>
      <c r="CW42" s="339"/>
      <c r="CX42" s="339"/>
      <c r="CY42" s="339"/>
      <c r="CZ42" s="339">
        <f t="shared" si="16"/>
        <v>0</v>
      </c>
      <c r="DB42" s="339"/>
      <c r="DC42" s="339"/>
      <c r="DD42" s="339"/>
      <c r="DE42" s="339"/>
      <c r="DF42" s="339"/>
      <c r="DG42" s="339">
        <f t="shared" si="17"/>
        <v>0</v>
      </c>
      <c r="DI42" s="339"/>
      <c r="DJ42" s="339"/>
      <c r="DK42" s="339"/>
      <c r="DL42" s="339"/>
      <c r="DM42" s="339"/>
      <c r="DN42" s="339">
        <f t="shared" si="18"/>
        <v>0</v>
      </c>
    </row>
    <row r="43" spans="19:118">
      <c r="S43" s="412"/>
      <c r="T43" s="417"/>
      <c r="V43" s="339">
        <v>2</v>
      </c>
      <c r="W43" s="339">
        <v>3.75</v>
      </c>
      <c r="X43" s="339"/>
      <c r="Y43" s="339"/>
      <c r="Z43" s="339"/>
      <c r="AA43" s="339">
        <f t="shared" si="22"/>
        <v>7.5</v>
      </c>
      <c r="AC43" s="339"/>
      <c r="AD43" s="339"/>
      <c r="AE43" s="339"/>
      <c r="AF43" s="339"/>
      <c r="AG43" s="339"/>
      <c r="AH43" s="339">
        <f t="shared" si="6"/>
        <v>0</v>
      </c>
      <c r="AJ43" s="339"/>
      <c r="AK43" s="339"/>
      <c r="AL43" s="339"/>
      <c r="AM43" s="339"/>
      <c r="AN43" s="339"/>
      <c r="AO43" s="339">
        <f t="shared" si="7"/>
        <v>0</v>
      </c>
      <c r="AQ43" s="339"/>
      <c r="AR43" s="339"/>
      <c r="AS43" s="339"/>
      <c r="AT43" s="339"/>
      <c r="AU43" s="339"/>
      <c r="AV43" s="339">
        <f t="shared" si="8"/>
        <v>0</v>
      </c>
      <c r="AX43" s="339"/>
      <c r="AY43" s="339"/>
      <c r="AZ43" s="339"/>
      <c r="BA43" s="339"/>
      <c r="BB43" s="339"/>
      <c r="BC43" s="339">
        <f t="shared" si="9"/>
        <v>0</v>
      </c>
      <c r="BE43" s="339"/>
      <c r="BF43" s="339"/>
      <c r="BG43" s="339"/>
      <c r="BH43" s="339"/>
      <c r="BI43" s="339"/>
      <c r="BJ43" s="339">
        <f t="shared" si="10"/>
        <v>0</v>
      </c>
      <c r="BL43" s="339"/>
      <c r="BM43" s="339"/>
      <c r="BN43" s="339"/>
      <c r="BO43" s="339"/>
      <c r="BP43" s="339"/>
      <c r="BQ43" s="339">
        <f t="shared" si="11"/>
        <v>0</v>
      </c>
      <c r="BS43" s="339"/>
      <c r="BT43" s="339"/>
      <c r="BU43" s="339"/>
      <c r="BV43" s="339"/>
      <c r="BW43" s="339"/>
      <c r="BX43" s="339">
        <f t="shared" si="12"/>
        <v>0</v>
      </c>
      <c r="BZ43" s="339"/>
      <c r="CA43" s="339"/>
      <c r="CB43" s="339"/>
      <c r="CC43" s="339"/>
      <c r="CD43" s="339"/>
      <c r="CE43" s="339">
        <f t="shared" si="13"/>
        <v>0</v>
      </c>
      <c r="CG43" s="339"/>
      <c r="CH43" s="339"/>
      <c r="CI43" s="339"/>
      <c r="CJ43" s="339"/>
      <c r="CK43" s="339"/>
      <c r="CL43" s="339">
        <f t="shared" si="14"/>
        <v>0</v>
      </c>
      <c r="CN43" s="339"/>
      <c r="CO43" s="339"/>
      <c r="CP43" s="339"/>
      <c r="CQ43" s="339"/>
      <c r="CR43" s="339"/>
      <c r="CS43" s="339">
        <f t="shared" si="15"/>
        <v>0</v>
      </c>
      <c r="CU43" s="339"/>
      <c r="CV43" s="339"/>
      <c r="CW43" s="339"/>
      <c r="CX43" s="339"/>
      <c r="CY43" s="339"/>
      <c r="CZ43" s="339">
        <f t="shared" si="16"/>
        <v>0</v>
      </c>
      <c r="DB43" s="339"/>
      <c r="DC43" s="339"/>
      <c r="DD43" s="339"/>
      <c r="DE43" s="339"/>
      <c r="DF43" s="339"/>
      <c r="DG43" s="339">
        <f t="shared" si="17"/>
        <v>0</v>
      </c>
      <c r="DI43" s="339"/>
      <c r="DJ43" s="339"/>
      <c r="DK43" s="339"/>
      <c r="DL43" s="339"/>
      <c r="DM43" s="339"/>
      <c r="DN43" s="339">
        <f t="shared" si="18"/>
        <v>0</v>
      </c>
    </row>
    <row r="44" spans="19:118">
      <c r="S44" s="412"/>
      <c r="T44" s="417"/>
      <c r="V44" s="339">
        <v>2</v>
      </c>
      <c r="W44" s="339">
        <v>3.75</v>
      </c>
      <c r="X44" s="339"/>
      <c r="Y44" s="339"/>
      <c r="Z44" s="339"/>
      <c r="AA44" s="339">
        <f t="shared" si="22"/>
        <v>7.5</v>
      </c>
      <c r="AC44" s="339"/>
      <c r="AD44" s="339"/>
      <c r="AE44" s="339"/>
      <c r="AF44" s="339"/>
      <c r="AG44" s="339"/>
      <c r="AH44" s="339">
        <f t="shared" si="6"/>
        <v>0</v>
      </c>
      <c r="AJ44" s="339"/>
      <c r="AK44" s="339"/>
      <c r="AL44" s="339"/>
      <c r="AM44" s="339"/>
      <c r="AN44" s="339"/>
      <c r="AO44" s="339">
        <f t="shared" si="7"/>
        <v>0</v>
      </c>
      <c r="AQ44" s="339"/>
      <c r="AR44" s="339"/>
      <c r="AS44" s="339"/>
      <c r="AT44" s="339"/>
      <c r="AU44" s="339"/>
      <c r="AV44" s="339">
        <f t="shared" si="8"/>
        <v>0</v>
      </c>
      <c r="AX44" s="339"/>
      <c r="AY44" s="339"/>
      <c r="AZ44" s="339"/>
      <c r="BA44" s="339"/>
      <c r="BB44" s="339"/>
      <c r="BC44" s="339">
        <f t="shared" si="9"/>
        <v>0</v>
      </c>
      <c r="BE44" s="339"/>
      <c r="BF44" s="339"/>
      <c r="BG44" s="339"/>
      <c r="BH44" s="339"/>
      <c r="BI44" s="339"/>
      <c r="BJ44" s="339">
        <f t="shared" si="10"/>
        <v>0</v>
      </c>
      <c r="BL44" s="339"/>
      <c r="BM44" s="339"/>
      <c r="BN44" s="339"/>
      <c r="BO44" s="339"/>
      <c r="BP44" s="339"/>
      <c r="BQ44" s="339">
        <f t="shared" si="11"/>
        <v>0</v>
      </c>
      <c r="BS44" s="339"/>
      <c r="BT44" s="339"/>
      <c r="BU44" s="339"/>
      <c r="BV44" s="339"/>
      <c r="BW44" s="339"/>
      <c r="BX44" s="339">
        <f t="shared" si="12"/>
        <v>0</v>
      </c>
      <c r="BZ44" s="339"/>
      <c r="CA44" s="339"/>
      <c r="CB44" s="339"/>
      <c r="CC44" s="339"/>
      <c r="CD44" s="339"/>
      <c r="CE44" s="339">
        <f t="shared" si="13"/>
        <v>0</v>
      </c>
      <c r="CG44" s="339"/>
      <c r="CH44" s="339"/>
      <c r="CI44" s="339"/>
      <c r="CJ44" s="339"/>
      <c r="CK44" s="339"/>
      <c r="CL44" s="339">
        <f t="shared" si="14"/>
        <v>0</v>
      </c>
      <c r="CN44" s="339"/>
      <c r="CO44" s="339"/>
      <c r="CP44" s="339"/>
      <c r="CQ44" s="339"/>
      <c r="CR44" s="339"/>
      <c r="CS44" s="339">
        <f t="shared" si="15"/>
        <v>0</v>
      </c>
      <c r="CU44" s="339"/>
      <c r="CV44" s="339"/>
      <c r="CW44" s="339"/>
      <c r="CX44" s="339"/>
      <c r="CY44" s="339"/>
      <c r="CZ44" s="339">
        <f t="shared" si="16"/>
        <v>0</v>
      </c>
      <c r="DB44" s="339"/>
      <c r="DC44" s="339"/>
      <c r="DD44" s="339"/>
      <c r="DE44" s="339"/>
      <c r="DF44" s="339"/>
      <c r="DG44" s="339">
        <f t="shared" si="17"/>
        <v>0</v>
      </c>
      <c r="DI44" s="339"/>
      <c r="DJ44" s="339"/>
      <c r="DK44" s="339"/>
      <c r="DL44" s="339"/>
      <c r="DM44" s="339"/>
      <c r="DN44" s="339">
        <f t="shared" si="18"/>
        <v>0</v>
      </c>
    </row>
    <row r="45" spans="19:118">
      <c r="S45" s="412"/>
      <c r="T45" s="417"/>
      <c r="V45" s="339">
        <v>2</v>
      </c>
      <c r="W45" s="339">
        <v>3.75</v>
      </c>
      <c r="X45" s="339"/>
      <c r="Y45" s="339"/>
      <c r="Z45" s="339"/>
      <c r="AA45" s="339">
        <f t="shared" si="22"/>
        <v>7.5</v>
      </c>
      <c r="AC45" s="339"/>
      <c r="AD45" s="339"/>
      <c r="AE45" s="339"/>
      <c r="AF45" s="339"/>
      <c r="AG45" s="339"/>
      <c r="AH45" s="339">
        <f t="shared" si="6"/>
        <v>0</v>
      </c>
      <c r="AJ45" s="339"/>
      <c r="AK45" s="339"/>
      <c r="AL45" s="339"/>
      <c r="AM45" s="339"/>
      <c r="AN45" s="339"/>
      <c r="AO45" s="339">
        <f t="shared" si="7"/>
        <v>0</v>
      </c>
      <c r="AQ45" s="339"/>
      <c r="AR45" s="339"/>
      <c r="AS45" s="339"/>
      <c r="AT45" s="339"/>
      <c r="AU45" s="339"/>
      <c r="AV45" s="339">
        <f t="shared" si="8"/>
        <v>0</v>
      </c>
      <c r="AX45" s="339"/>
      <c r="AY45" s="339"/>
      <c r="AZ45" s="339"/>
      <c r="BA45" s="339"/>
      <c r="BB45" s="339"/>
      <c r="BC45" s="339">
        <f t="shared" si="9"/>
        <v>0</v>
      </c>
      <c r="BE45" s="339"/>
      <c r="BF45" s="339"/>
      <c r="BG45" s="339"/>
      <c r="BH45" s="339"/>
      <c r="BI45" s="339"/>
      <c r="BJ45" s="339">
        <f t="shared" si="10"/>
        <v>0</v>
      </c>
      <c r="BL45" s="339"/>
      <c r="BM45" s="339"/>
      <c r="BN45" s="339"/>
      <c r="BO45" s="339"/>
      <c r="BP45" s="339"/>
      <c r="BQ45" s="339">
        <f t="shared" si="11"/>
        <v>0</v>
      </c>
      <c r="BS45" s="339"/>
      <c r="BT45" s="339"/>
      <c r="BU45" s="339"/>
      <c r="BV45" s="339"/>
      <c r="BW45" s="339"/>
      <c r="BX45" s="339">
        <f t="shared" si="12"/>
        <v>0</v>
      </c>
      <c r="BZ45" s="339"/>
      <c r="CA45" s="339"/>
      <c r="CB45" s="339"/>
      <c r="CC45" s="339"/>
      <c r="CD45" s="339"/>
      <c r="CE45" s="339">
        <f t="shared" si="13"/>
        <v>0</v>
      </c>
      <c r="CG45" s="339"/>
      <c r="CH45" s="339"/>
      <c r="CI45" s="339"/>
      <c r="CJ45" s="339"/>
      <c r="CK45" s="339"/>
      <c r="CL45" s="339">
        <f t="shared" si="14"/>
        <v>0</v>
      </c>
      <c r="CN45" s="339"/>
      <c r="CO45" s="339"/>
      <c r="CP45" s="339"/>
      <c r="CQ45" s="339"/>
      <c r="CR45" s="339"/>
      <c r="CS45" s="339">
        <f t="shared" si="15"/>
        <v>0</v>
      </c>
      <c r="CU45" s="339"/>
      <c r="CV45" s="339"/>
      <c r="CW45" s="339"/>
      <c r="CX45" s="339"/>
      <c r="CY45" s="339"/>
      <c r="CZ45" s="339">
        <f t="shared" si="16"/>
        <v>0</v>
      </c>
      <c r="DB45" s="339"/>
      <c r="DC45" s="339"/>
      <c r="DD45" s="339"/>
      <c r="DE45" s="339"/>
      <c r="DF45" s="339"/>
      <c r="DG45" s="339">
        <f t="shared" si="17"/>
        <v>0</v>
      </c>
      <c r="DI45" s="339"/>
      <c r="DJ45" s="339"/>
      <c r="DK45" s="339"/>
      <c r="DL45" s="339"/>
      <c r="DM45" s="339"/>
      <c r="DN45" s="339">
        <f t="shared" si="18"/>
        <v>0</v>
      </c>
    </row>
    <row r="46" spans="19:118">
      <c r="S46" s="417"/>
      <c r="T46" s="417"/>
      <c r="V46" s="339">
        <v>3</v>
      </c>
      <c r="W46" s="339">
        <v>3.75</v>
      </c>
      <c r="X46" s="339"/>
      <c r="Y46" s="339"/>
      <c r="Z46" s="339"/>
      <c r="AA46" s="339">
        <f t="shared" si="22"/>
        <v>11.25</v>
      </c>
      <c r="AC46" s="339"/>
      <c r="AD46" s="339"/>
      <c r="AE46" s="339"/>
      <c r="AF46" s="339"/>
      <c r="AG46" s="339"/>
      <c r="AH46" s="339">
        <f t="shared" si="6"/>
        <v>0</v>
      </c>
      <c r="AJ46" s="339"/>
      <c r="AK46" s="339"/>
      <c r="AL46" s="339"/>
      <c r="AM46" s="339"/>
      <c r="AN46" s="339"/>
      <c r="AO46" s="339">
        <f t="shared" si="7"/>
        <v>0</v>
      </c>
      <c r="AQ46" s="339"/>
      <c r="AR46" s="339"/>
      <c r="AS46" s="339"/>
      <c r="AT46" s="339"/>
      <c r="AU46" s="339"/>
      <c r="AV46" s="339">
        <f t="shared" si="8"/>
        <v>0</v>
      </c>
      <c r="AX46" s="339"/>
      <c r="AY46" s="339"/>
      <c r="AZ46" s="339"/>
      <c r="BA46" s="339"/>
      <c r="BB46" s="339"/>
      <c r="BC46" s="339">
        <f t="shared" si="9"/>
        <v>0</v>
      </c>
      <c r="BE46" s="339"/>
      <c r="BF46" s="339"/>
      <c r="BG46" s="339"/>
      <c r="BH46" s="339"/>
      <c r="BI46" s="339"/>
      <c r="BJ46" s="339">
        <f t="shared" si="10"/>
        <v>0</v>
      </c>
      <c r="BL46" s="339"/>
      <c r="BM46" s="339"/>
      <c r="BN46" s="339"/>
      <c r="BO46" s="339"/>
      <c r="BP46" s="339"/>
      <c r="BQ46" s="339">
        <f t="shared" si="11"/>
        <v>0</v>
      </c>
      <c r="BS46" s="339"/>
      <c r="BT46" s="339"/>
      <c r="BU46" s="339"/>
      <c r="BV46" s="339"/>
      <c r="BW46" s="339"/>
      <c r="BX46" s="339">
        <f t="shared" si="12"/>
        <v>0</v>
      </c>
      <c r="BZ46" s="339"/>
      <c r="CA46" s="339"/>
      <c r="CB46" s="339"/>
      <c r="CC46" s="339"/>
      <c r="CD46" s="339"/>
      <c r="CE46" s="339">
        <f t="shared" si="13"/>
        <v>0</v>
      </c>
      <c r="CG46" s="339"/>
      <c r="CH46" s="339"/>
      <c r="CI46" s="339"/>
      <c r="CJ46" s="339"/>
      <c r="CK46" s="339"/>
      <c r="CL46" s="339">
        <f t="shared" si="14"/>
        <v>0</v>
      </c>
      <c r="CN46" s="339"/>
      <c r="CO46" s="339"/>
      <c r="CP46" s="339"/>
      <c r="CQ46" s="339"/>
      <c r="CR46" s="339"/>
      <c r="CS46" s="339">
        <f t="shared" si="15"/>
        <v>0</v>
      </c>
      <c r="CU46" s="339"/>
      <c r="CV46" s="339"/>
      <c r="CW46" s="339"/>
      <c r="CX46" s="339"/>
      <c r="CY46" s="339"/>
      <c r="CZ46" s="339">
        <f t="shared" si="16"/>
        <v>0</v>
      </c>
      <c r="DB46" s="339"/>
      <c r="DC46" s="339"/>
      <c r="DD46" s="339"/>
      <c r="DE46" s="339"/>
      <c r="DF46" s="339"/>
      <c r="DG46" s="339">
        <f t="shared" si="17"/>
        <v>0</v>
      </c>
      <c r="DI46" s="339"/>
      <c r="DJ46" s="339"/>
      <c r="DK46" s="339"/>
      <c r="DL46" s="339"/>
      <c r="DM46" s="339"/>
      <c r="DN46" s="339">
        <f t="shared" si="18"/>
        <v>0</v>
      </c>
    </row>
    <row r="47" spans="19:118">
      <c r="S47" s="417"/>
      <c r="T47" s="417"/>
      <c r="V47" s="339">
        <v>3</v>
      </c>
      <c r="W47" s="339">
        <v>3.75</v>
      </c>
      <c r="X47" s="339"/>
      <c r="Y47" s="339"/>
      <c r="Z47" s="339"/>
      <c r="AA47" s="339">
        <f t="shared" si="22"/>
        <v>11.25</v>
      </c>
      <c r="AC47" s="339"/>
      <c r="AD47" s="339"/>
      <c r="AE47" s="339"/>
      <c r="AF47" s="339"/>
      <c r="AG47" s="339"/>
      <c r="AH47" s="339">
        <f t="shared" si="6"/>
        <v>0</v>
      </c>
      <c r="AJ47" s="339"/>
      <c r="AK47" s="339"/>
      <c r="AL47" s="339"/>
      <c r="AM47" s="339"/>
      <c r="AN47" s="339"/>
      <c r="AO47" s="339">
        <f t="shared" si="7"/>
        <v>0</v>
      </c>
      <c r="AQ47" s="339"/>
      <c r="AR47" s="339"/>
      <c r="AS47" s="339"/>
      <c r="AT47" s="339"/>
      <c r="AU47" s="339"/>
      <c r="AV47" s="339">
        <f t="shared" si="8"/>
        <v>0</v>
      </c>
      <c r="AX47" s="339"/>
      <c r="AY47" s="339"/>
      <c r="AZ47" s="339"/>
      <c r="BA47" s="339"/>
      <c r="BB47" s="339"/>
      <c r="BC47" s="339">
        <f t="shared" si="9"/>
        <v>0</v>
      </c>
      <c r="BE47" s="339"/>
      <c r="BF47" s="339"/>
      <c r="BG47" s="339"/>
      <c r="BH47" s="339"/>
      <c r="BI47" s="339"/>
      <c r="BJ47" s="339">
        <f t="shared" si="10"/>
        <v>0</v>
      </c>
      <c r="BL47" s="339"/>
      <c r="BM47" s="339"/>
      <c r="BN47" s="339"/>
      <c r="BO47" s="339"/>
      <c r="BP47" s="339"/>
      <c r="BQ47" s="339">
        <f t="shared" si="11"/>
        <v>0</v>
      </c>
      <c r="BS47" s="339"/>
      <c r="BT47" s="339"/>
      <c r="BU47" s="339"/>
      <c r="BV47" s="339"/>
      <c r="BW47" s="339"/>
      <c r="BX47" s="339">
        <f t="shared" si="12"/>
        <v>0</v>
      </c>
      <c r="BZ47" s="339"/>
      <c r="CA47" s="339"/>
      <c r="CB47" s="339"/>
      <c r="CC47" s="339"/>
      <c r="CD47" s="339"/>
      <c r="CE47" s="339">
        <f t="shared" si="13"/>
        <v>0</v>
      </c>
      <c r="CG47" s="339"/>
      <c r="CH47" s="339"/>
      <c r="CI47" s="339"/>
      <c r="CJ47" s="339"/>
      <c r="CK47" s="339"/>
      <c r="CL47" s="339">
        <f t="shared" si="14"/>
        <v>0</v>
      </c>
      <c r="CN47" s="339"/>
      <c r="CO47" s="339"/>
      <c r="CP47" s="339"/>
      <c r="CQ47" s="339"/>
      <c r="CR47" s="339"/>
      <c r="CS47" s="339">
        <f t="shared" si="15"/>
        <v>0</v>
      </c>
      <c r="CU47" s="339"/>
      <c r="CV47" s="339"/>
      <c r="CW47" s="339"/>
      <c r="CX47" s="339"/>
      <c r="CY47" s="339"/>
      <c r="CZ47" s="339">
        <f t="shared" si="16"/>
        <v>0</v>
      </c>
      <c r="DB47" s="339"/>
      <c r="DC47" s="339"/>
      <c r="DD47" s="339"/>
      <c r="DE47" s="339"/>
      <c r="DF47" s="339"/>
      <c r="DG47" s="339">
        <f t="shared" si="17"/>
        <v>0</v>
      </c>
      <c r="DI47" s="339"/>
      <c r="DJ47" s="339"/>
      <c r="DK47" s="339"/>
      <c r="DL47" s="339"/>
      <c r="DM47" s="339"/>
      <c r="DN47" s="339">
        <f t="shared" si="18"/>
        <v>0</v>
      </c>
    </row>
    <row r="48" spans="19:118">
      <c r="S48" s="417"/>
      <c r="T48" s="417"/>
      <c r="V48" s="339">
        <v>1.65</v>
      </c>
      <c r="W48" s="339">
        <v>2.65</v>
      </c>
      <c r="X48" s="339"/>
      <c r="Y48" s="339"/>
      <c r="Z48" s="339"/>
      <c r="AA48" s="339">
        <f t="shared" si="22"/>
        <v>4.3724999999999996</v>
      </c>
      <c r="AC48" s="339"/>
      <c r="AD48" s="339"/>
      <c r="AE48" s="339"/>
      <c r="AF48" s="339"/>
      <c r="AG48" s="339"/>
      <c r="AH48" s="339">
        <f t="shared" si="6"/>
        <v>0</v>
      </c>
      <c r="AJ48" s="339"/>
      <c r="AK48" s="339"/>
      <c r="AL48" s="339"/>
      <c r="AM48" s="339"/>
      <c r="AN48" s="339"/>
      <c r="AO48" s="339">
        <f t="shared" si="7"/>
        <v>0</v>
      </c>
      <c r="AQ48" s="339"/>
      <c r="AR48" s="339"/>
      <c r="AS48" s="339"/>
      <c r="AT48" s="339"/>
      <c r="AU48" s="339"/>
      <c r="AV48" s="339">
        <f t="shared" si="8"/>
        <v>0</v>
      </c>
      <c r="AX48" s="339"/>
      <c r="AY48" s="339"/>
      <c r="AZ48" s="339"/>
      <c r="BA48" s="339"/>
      <c r="BB48" s="339"/>
      <c r="BC48" s="339">
        <f t="shared" si="9"/>
        <v>0</v>
      </c>
      <c r="BE48" s="339"/>
      <c r="BF48" s="339"/>
      <c r="BG48" s="339"/>
      <c r="BH48" s="339"/>
      <c r="BI48" s="339"/>
      <c r="BJ48" s="339">
        <f t="shared" si="10"/>
        <v>0</v>
      </c>
      <c r="BL48" s="339"/>
      <c r="BM48" s="339"/>
      <c r="BN48" s="339"/>
      <c r="BO48" s="339"/>
      <c r="BP48" s="339"/>
      <c r="BQ48" s="339">
        <f t="shared" si="11"/>
        <v>0</v>
      </c>
      <c r="BS48" s="339"/>
      <c r="BT48" s="339"/>
      <c r="BU48" s="339"/>
      <c r="BV48" s="339"/>
      <c r="BW48" s="339"/>
      <c r="BX48" s="339">
        <f t="shared" si="12"/>
        <v>0</v>
      </c>
      <c r="BZ48" s="339"/>
      <c r="CA48" s="339"/>
      <c r="CB48" s="339"/>
      <c r="CC48" s="339"/>
      <c r="CD48" s="339"/>
      <c r="CE48" s="339">
        <f t="shared" si="13"/>
        <v>0</v>
      </c>
      <c r="CG48" s="339"/>
      <c r="CH48" s="339"/>
      <c r="CI48" s="339"/>
      <c r="CJ48" s="339"/>
      <c r="CK48" s="339"/>
      <c r="CL48" s="339">
        <f t="shared" si="14"/>
        <v>0</v>
      </c>
      <c r="CN48" s="339"/>
      <c r="CO48" s="339"/>
      <c r="CP48" s="339"/>
      <c r="CQ48" s="339"/>
      <c r="CR48" s="339"/>
      <c r="CS48" s="339">
        <f t="shared" si="15"/>
        <v>0</v>
      </c>
      <c r="CU48" s="339"/>
      <c r="CV48" s="339"/>
      <c r="CW48" s="339"/>
      <c r="CX48" s="339"/>
      <c r="CY48" s="339"/>
      <c r="CZ48" s="339">
        <f t="shared" si="16"/>
        <v>0</v>
      </c>
      <c r="DB48" s="339"/>
      <c r="DC48" s="339"/>
      <c r="DD48" s="339"/>
      <c r="DE48" s="339"/>
      <c r="DF48" s="339"/>
      <c r="DG48" s="339">
        <f t="shared" si="17"/>
        <v>0</v>
      </c>
      <c r="DI48" s="339"/>
      <c r="DJ48" s="339"/>
      <c r="DK48" s="339"/>
      <c r="DL48" s="339"/>
      <c r="DM48" s="339"/>
      <c r="DN48" s="339">
        <f t="shared" si="18"/>
        <v>0</v>
      </c>
    </row>
    <row r="49" spans="19:118">
      <c r="S49" s="412"/>
      <c r="T49" s="412"/>
      <c r="V49" s="339">
        <v>4.5750000000000002</v>
      </c>
      <c r="W49" s="339">
        <v>2.65</v>
      </c>
      <c r="X49" s="339"/>
      <c r="Y49" s="339" t="s">
        <v>709</v>
      </c>
      <c r="Z49" s="339">
        <f>Q10</f>
        <v>6.5625</v>
      </c>
      <c r="AA49" s="339">
        <f t="shared" si="22"/>
        <v>5.5612499999999994</v>
      </c>
      <c r="AC49" s="339"/>
      <c r="AD49" s="339"/>
      <c r="AE49" s="339"/>
      <c r="AF49" s="339"/>
      <c r="AG49" s="339"/>
      <c r="AH49" s="339">
        <f t="shared" si="6"/>
        <v>0</v>
      </c>
      <c r="AJ49" s="339"/>
      <c r="AK49" s="339"/>
      <c r="AL49" s="339"/>
      <c r="AM49" s="339"/>
      <c r="AN49" s="339"/>
      <c r="AO49" s="339">
        <f t="shared" si="7"/>
        <v>0</v>
      </c>
      <c r="AQ49" s="339"/>
      <c r="AR49" s="339"/>
      <c r="AS49" s="339"/>
      <c r="AT49" s="339"/>
      <c r="AU49" s="339"/>
      <c r="AV49" s="339">
        <f t="shared" si="8"/>
        <v>0</v>
      </c>
      <c r="AX49" s="339"/>
      <c r="AY49" s="339"/>
      <c r="AZ49" s="339"/>
      <c r="BA49" s="339"/>
      <c r="BB49" s="339"/>
      <c r="BC49" s="339">
        <f t="shared" si="9"/>
        <v>0</v>
      </c>
      <c r="BE49" s="339"/>
      <c r="BF49" s="339"/>
      <c r="BG49" s="339"/>
      <c r="BH49" s="339"/>
      <c r="BI49" s="339"/>
      <c r="BJ49" s="339">
        <f t="shared" si="10"/>
        <v>0</v>
      </c>
      <c r="BL49" s="339"/>
      <c r="BM49" s="339"/>
      <c r="BN49" s="339"/>
      <c r="BO49" s="339"/>
      <c r="BP49" s="339"/>
      <c r="BQ49" s="339">
        <f t="shared" si="11"/>
        <v>0</v>
      </c>
      <c r="BS49" s="339"/>
      <c r="BT49" s="339"/>
      <c r="BU49" s="339"/>
      <c r="BV49" s="339"/>
      <c r="BW49" s="339"/>
      <c r="BX49" s="339">
        <f t="shared" si="12"/>
        <v>0</v>
      </c>
      <c r="BZ49" s="339"/>
      <c r="CA49" s="339"/>
      <c r="CB49" s="339"/>
      <c r="CC49" s="339"/>
      <c r="CD49" s="339"/>
      <c r="CE49" s="339">
        <f t="shared" si="13"/>
        <v>0</v>
      </c>
      <c r="CG49" s="339"/>
      <c r="CH49" s="339"/>
      <c r="CI49" s="339"/>
      <c r="CJ49" s="339"/>
      <c r="CK49" s="339"/>
      <c r="CL49" s="339">
        <f t="shared" si="14"/>
        <v>0</v>
      </c>
      <c r="CN49" s="339"/>
      <c r="CO49" s="339"/>
      <c r="CP49" s="339"/>
      <c r="CQ49" s="339"/>
      <c r="CR49" s="339"/>
      <c r="CS49" s="339">
        <f t="shared" si="15"/>
        <v>0</v>
      </c>
      <c r="CU49" s="339"/>
      <c r="CV49" s="339"/>
      <c r="CW49" s="339"/>
      <c r="CX49" s="339"/>
      <c r="CY49" s="339"/>
      <c r="CZ49" s="339">
        <f t="shared" si="16"/>
        <v>0</v>
      </c>
      <c r="DB49" s="339"/>
      <c r="DC49" s="339"/>
      <c r="DD49" s="339"/>
      <c r="DE49" s="339"/>
      <c r="DF49" s="339"/>
      <c r="DG49" s="339">
        <f t="shared" si="17"/>
        <v>0</v>
      </c>
      <c r="DI49" s="339"/>
      <c r="DJ49" s="339"/>
      <c r="DK49" s="339"/>
      <c r="DL49" s="339"/>
      <c r="DM49" s="339"/>
      <c r="DN49" s="339">
        <f t="shared" si="18"/>
        <v>0</v>
      </c>
    </row>
    <row r="50" spans="19:118">
      <c r="S50" s="412"/>
      <c r="T50" s="412"/>
      <c r="V50" s="339">
        <v>1.7</v>
      </c>
      <c r="W50" s="339">
        <v>2.65</v>
      </c>
      <c r="X50" s="339"/>
      <c r="Y50" s="339"/>
      <c r="Z50" s="339"/>
      <c r="AA50" s="339">
        <f t="shared" si="22"/>
        <v>4.5049999999999999</v>
      </c>
      <c r="AC50" s="339"/>
      <c r="AD50" s="339"/>
      <c r="AE50" s="339"/>
      <c r="AF50" s="339"/>
      <c r="AG50" s="339"/>
      <c r="AH50" s="339">
        <f t="shared" si="6"/>
        <v>0</v>
      </c>
      <c r="AJ50" s="339"/>
      <c r="AK50" s="339"/>
      <c r="AL50" s="339"/>
      <c r="AM50" s="339"/>
      <c r="AN50" s="339"/>
      <c r="AO50" s="339">
        <f t="shared" si="7"/>
        <v>0</v>
      </c>
      <c r="AQ50" s="339"/>
      <c r="AR50" s="339"/>
      <c r="AS50" s="339"/>
      <c r="AT50" s="339"/>
      <c r="AU50" s="339"/>
      <c r="AV50" s="339">
        <f t="shared" si="8"/>
        <v>0</v>
      </c>
      <c r="AX50" s="339"/>
      <c r="AY50" s="339"/>
      <c r="AZ50" s="339"/>
      <c r="BA50" s="339"/>
      <c r="BB50" s="339"/>
      <c r="BC50" s="339">
        <f t="shared" si="9"/>
        <v>0</v>
      </c>
      <c r="BE50" s="339"/>
      <c r="BF50" s="339"/>
      <c r="BG50" s="339"/>
      <c r="BH50" s="339"/>
      <c r="BI50" s="339"/>
      <c r="BJ50" s="339">
        <f t="shared" si="10"/>
        <v>0</v>
      </c>
      <c r="BL50" s="339"/>
      <c r="BM50" s="339"/>
      <c r="BN50" s="339"/>
      <c r="BO50" s="339"/>
      <c r="BP50" s="339"/>
      <c r="BQ50" s="339">
        <f t="shared" si="11"/>
        <v>0</v>
      </c>
      <c r="BS50" s="339"/>
      <c r="BT50" s="339"/>
      <c r="BU50" s="339"/>
      <c r="BV50" s="339"/>
      <c r="BW50" s="339"/>
      <c r="BX50" s="339">
        <f t="shared" si="12"/>
        <v>0</v>
      </c>
      <c r="BZ50" s="339"/>
      <c r="CA50" s="339"/>
      <c r="CB50" s="339"/>
      <c r="CC50" s="339"/>
      <c r="CD50" s="339"/>
      <c r="CE50" s="339">
        <f t="shared" si="13"/>
        <v>0</v>
      </c>
      <c r="CG50" s="339"/>
      <c r="CH50" s="339"/>
      <c r="CI50" s="339"/>
      <c r="CJ50" s="339"/>
      <c r="CK50" s="339"/>
      <c r="CL50" s="339">
        <f t="shared" si="14"/>
        <v>0</v>
      </c>
      <c r="CN50" s="339"/>
      <c r="CO50" s="339"/>
      <c r="CP50" s="339"/>
      <c r="CQ50" s="339"/>
      <c r="CR50" s="339"/>
      <c r="CS50" s="339">
        <f t="shared" si="15"/>
        <v>0</v>
      </c>
      <c r="CU50" s="339"/>
      <c r="CV50" s="339"/>
      <c r="CW50" s="339"/>
      <c r="CX50" s="339"/>
      <c r="CY50" s="339"/>
      <c r="CZ50" s="339">
        <f t="shared" si="16"/>
        <v>0</v>
      </c>
      <c r="DB50" s="339"/>
      <c r="DC50" s="339"/>
      <c r="DD50" s="339"/>
      <c r="DE50" s="339"/>
      <c r="DF50" s="339"/>
      <c r="DG50" s="339">
        <f t="shared" si="17"/>
        <v>0</v>
      </c>
      <c r="DI50" s="339"/>
      <c r="DJ50" s="339"/>
      <c r="DK50" s="339"/>
      <c r="DL50" s="339"/>
      <c r="DM50" s="339"/>
      <c r="DN50" s="339">
        <f t="shared" si="18"/>
        <v>0</v>
      </c>
    </row>
    <row r="51" spans="19:118">
      <c r="S51" s="412"/>
      <c r="T51" s="412"/>
      <c r="V51" s="339">
        <v>1.7</v>
      </c>
      <c r="W51" s="339">
        <v>2.65</v>
      </c>
      <c r="X51" s="339"/>
      <c r="Y51" s="339"/>
      <c r="Z51" s="339"/>
      <c r="AA51" s="339">
        <f t="shared" si="22"/>
        <v>4.5049999999999999</v>
      </c>
      <c r="AC51" s="339"/>
      <c r="AD51" s="339"/>
      <c r="AE51" s="339"/>
      <c r="AF51" s="339"/>
      <c r="AG51" s="339"/>
      <c r="AH51" s="339">
        <f t="shared" si="6"/>
        <v>0</v>
      </c>
      <c r="AJ51" s="339"/>
      <c r="AK51" s="339"/>
      <c r="AL51" s="339"/>
      <c r="AM51" s="339"/>
      <c r="AN51" s="339"/>
      <c r="AO51" s="339">
        <f t="shared" si="7"/>
        <v>0</v>
      </c>
      <c r="AQ51" s="339"/>
      <c r="AR51" s="339"/>
      <c r="AS51" s="339"/>
      <c r="AT51" s="339"/>
      <c r="AU51" s="339"/>
      <c r="AV51" s="339">
        <f t="shared" si="8"/>
        <v>0</v>
      </c>
      <c r="AX51" s="339"/>
      <c r="AY51" s="339"/>
      <c r="AZ51" s="339"/>
      <c r="BA51" s="339"/>
      <c r="BB51" s="339"/>
      <c r="BC51" s="339">
        <f t="shared" si="9"/>
        <v>0</v>
      </c>
      <c r="BE51" s="339"/>
      <c r="BF51" s="339"/>
      <c r="BG51" s="339"/>
      <c r="BH51" s="339"/>
      <c r="BI51" s="339"/>
      <c r="BJ51" s="339">
        <f t="shared" si="10"/>
        <v>0</v>
      </c>
      <c r="BL51" s="339"/>
      <c r="BM51" s="339"/>
      <c r="BN51" s="339"/>
      <c r="BO51" s="339"/>
      <c r="BP51" s="339"/>
      <c r="BQ51" s="339">
        <f t="shared" si="11"/>
        <v>0</v>
      </c>
      <c r="BS51" s="339"/>
      <c r="BT51" s="339"/>
      <c r="BU51" s="339"/>
      <c r="BV51" s="339"/>
      <c r="BW51" s="339"/>
      <c r="BX51" s="339">
        <f t="shared" si="12"/>
        <v>0</v>
      </c>
      <c r="BZ51" s="339"/>
      <c r="CA51" s="339"/>
      <c r="CB51" s="339"/>
      <c r="CC51" s="339"/>
      <c r="CD51" s="339"/>
      <c r="CE51" s="339">
        <f t="shared" si="13"/>
        <v>0</v>
      </c>
      <c r="CG51" s="339"/>
      <c r="CH51" s="339"/>
      <c r="CI51" s="339"/>
      <c r="CJ51" s="339"/>
      <c r="CK51" s="339"/>
      <c r="CL51" s="339">
        <f t="shared" si="14"/>
        <v>0</v>
      </c>
      <c r="CN51" s="339"/>
      <c r="CO51" s="339"/>
      <c r="CP51" s="339"/>
      <c r="CQ51" s="339"/>
      <c r="CR51" s="339"/>
      <c r="CS51" s="339">
        <f t="shared" si="15"/>
        <v>0</v>
      </c>
      <c r="CU51" s="339"/>
      <c r="CV51" s="339"/>
      <c r="CW51" s="339"/>
      <c r="CX51" s="339"/>
      <c r="CY51" s="339"/>
      <c r="CZ51" s="339">
        <f t="shared" si="16"/>
        <v>0</v>
      </c>
      <c r="DB51" s="339"/>
      <c r="DC51" s="339"/>
      <c r="DD51" s="339"/>
      <c r="DE51" s="339"/>
      <c r="DF51" s="339"/>
      <c r="DG51" s="339">
        <f t="shared" si="17"/>
        <v>0</v>
      </c>
      <c r="DI51" s="339"/>
      <c r="DJ51" s="339"/>
      <c r="DK51" s="339"/>
      <c r="DL51" s="339"/>
      <c r="DM51" s="339"/>
      <c r="DN51" s="339">
        <f t="shared" si="18"/>
        <v>0</v>
      </c>
    </row>
    <row r="52" spans="19:118">
      <c r="S52" s="412"/>
      <c r="T52" s="412"/>
      <c r="V52" s="339">
        <v>3.7</v>
      </c>
      <c r="W52" s="339">
        <v>2.65</v>
      </c>
      <c r="X52" s="339"/>
      <c r="Y52" s="339"/>
      <c r="Z52" s="339"/>
      <c r="AA52" s="339">
        <f t="shared" ref="AA52:AA63" si="23">V52*W52+X52-Z52</f>
        <v>9.8049999999999997</v>
      </c>
      <c r="AC52" s="339"/>
      <c r="AD52" s="339"/>
      <c r="AE52" s="339"/>
      <c r="AF52" s="339"/>
      <c r="AG52" s="339"/>
      <c r="AH52" s="339">
        <f t="shared" ref="AH52:AH63" si="24">AC52*AD52+AE52-AG52</f>
        <v>0</v>
      </c>
      <c r="AJ52" s="339"/>
      <c r="AK52" s="339"/>
      <c r="AL52" s="339"/>
      <c r="AM52" s="339"/>
      <c r="AN52" s="339"/>
      <c r="AO52" s="339">
        <f t="shared" ref="AO52:AO63" si="25">AJ52*AK52+AL52-AN52</f>
        <v>0</v>
      </c>
      <c r="AQ52" s="339"/>
      <c r="AR52" s="339"/>
      <c r="AS52" s="339"/>
      <c r="AT52" s="339"/>
      <c r="AU52" s="339"/>
      <c r="AV52" s="339">
        <f t="shared" ref="AV52:AV63" si="26">AQ52*AR52+AS52-AU52</f>
        <v>0</v>
      </c>
      <c r="AX52" s="339"/>
      <c r="AY52" s="339"/>
      <c r="AZ52" s="339"/>
      <c r="BA52" s="339"/>
      <c r="BB52" s="339"/>
      <c r="BC52" s="339">
        <f t="shared" ref="BC52:BC63" si="27">AX52*AY52+AZ52-BB52</f>
        <v>0</v>
      </c>
      <c r="BE52" s="339"/>
      <c r="BF52" s="339"/>
      <c r="BG52" s="339"/>
      <c r="BH52" s="339"/>
      <c r="BI52" s="339"/>
      <c r="BJ52" s="339">
        <f t="shared" ref="BJ52:BJ63" si="28">BE52*BF52+BG52-BI52</f>
        <v>0</v>
      </c>
      <c r="BL52" s="339"/>
      <c r="BM52" s="339"/>
      <c r="BN52" s="339"/>
      <c r="BO52" s="339"/>
      <c r="BP52" s="339"/>
      <c r="BQ52" s="339">
        <f t="shared" ref="BQ52:BQ63" si="29">BL52*BM52+BN52-BP52</f>
        <v>0</v>
      </c>
      <c r="BS52" s="339"/>
      <c r="BT52" s="339"/>
      <c r="BU52" s="339"/>
      <c r="BV52" s="339"/>
      <c r="BW52" s="339"/>
      <c r="BX52" s="339">
        <f t="shared" ref="BX52:BX63" si="30">BS52*BT52+BU52-BW52</f>
        <v>0</v>
      </c>
      <c r="BZ52" s="339"/>
      <c r="CA52" s="339"/>
      <c r="CB52" s="339"/>
      <c r="CC52" s="339"/>
      <c r="CD52" s="339"/>
      <c r="CE52" s="339">
        <f t="shared" ref="CE52:CE63" si="31">BZ52*CA52+CB52-CD52</f>
        <v>0</v>
      </c>
      <c r="CG52" s="339"/>
      <c r="CH52" s="339"/>
      <c r="CI52" s="339"/>
      <c r="CJ52" s="339"/>
      <c r="CK52" s="339"/>
      <c r="CL52" s="339">
        <f t="shared" ref="CL52:CL63" si="32">CG52*CH52+CI52-CK52</f>
        <v>0</v>
      </c>
      <c r="CN52" s="339"/>
      <c r="CO52" s="339"/>
      <c r="CP52" s="339"/>
      <c r="CQ52" s="339"/>
      <c r="CR52" s="339"/>
      <c r="CS52" s="339">
        <f t="shared" ref="CS52:CS63" si="33">CN52*CO52+CP52-CR52</f>
        <v>0</v>
      </c>
      <c r="CU52" s="339"/>
      <c r="CV52" s="339"/>
      <c r="CW52" s="339"/>
      <c r="CX52" s="339"/>
      <c r="CY52" s="339"/>
      <c r="CZ52" s="339">
        <f t="shared" ref="CZ52:CZ63" si="34">CU52*CV52+CW52-CY52</f>
        <v>0</v>
      </c>
      <c r="DB52" s="339"/>
      <c r="DC52" s="339"/>
      <c r="DD52" s="339"/>
      <c r="DE52" s="339"/>
      <c r="DF52" s="339"/>
      <c r="DG52" s="339">
        <f t="shared" si="17"/>
        <v>0</v>
      </c>
      <c r="DI52" s="339"/>
      <c r="DJ52" s="339"/>
      <c r="DK52" s="339"/>
      <c r="DL52" s="339"/>
      <c r="DM52" s="339"/>
      <c r="DN52" s="339">
        <f t="shared" si="18"/>
        <v>0</v>
      </c>
    </row>
    <row r="53" spans="19:118">
      <c r="S53" s="412"/>
      <c r="T53" s="412"/>
      <c r="V53" s="339">
        <v>1.7</v>
      </c>
      <c r="W53" s="339">
        <v>2.65</v>
      </c>
      <c r="X53" s="339"/>
      <c r="Y53" s="339" t="s">
        <v>710</v>
      </c>
      <c r="Z53" s="339">
        <f>Q7</f>
        <v>3.3000000000000003</v>
      </c>
      <c r="AA53" s="339">
        <f>V53*W53+X53-Z53</f>
        <v>1.2049999999999996</v>
      </c>
      <c r="AC53" s="339"/>
      <c r="AD53" s="339"/>
      <c r="AE53" s="339"/>
      <c r="AF53" s="339"/>
      <c r="AG53" s="339"/>
      <c r="AH53" s="339">
        <f t="shared" si="24"/>
        <v>0</v>
      </c>
      <c r="AJ53" s="339"/>
      <c r="AK53" s="339"/>
      <c r="AL53" s="339"/>
      <c r="AM53" s="339"/>
      <c r="AN53" s="339"/>
      <c r="AO53" s="339">
        <f t="shared" si="25"/>
        <v>0</v>
      </c>
      <c r="AQ53" s="339"/>
      <c r="AR53" s="339"/>
      <c r="AS53" s="339"/>
      <c r="AT53" s="339"/>
      <c r="AU53" s="339"/>
      <c r="AV53" s="339">
        <f t="shared" si="26"/>
        <v>0</v>
      </c>
      <c r="AX53" s="339"/>
      <c r="AY53" s="339"/>
      <c r="AZ53" s="339"/>
      <c r="BA53" s="339"/>
      <c r="BB53" s="339"/>
      <c r="BC53" s="339">
        <f t="shared" si="27"/>
        <v>0</v>
      </c>
      <c r="BE53" s="339"/>
      <c r="BF53" s="339"/>
      <c r="BG53" s="339"/>
      <c r="BH53" s="339"/>
      <c r="BI53" s="339"/>
      <c r="BJ53" s="339">
        <f t="shared" si="28"/>
        <v>0</v>
      </c>
      <c r="BL53" s="339"/>
      <c r="BM53" s="339"/>
      <c r="BN53" s="339"/>
      <c r="BO53" s="339"/>
      <c r="BP53" s="339"/>
      <c r="BQ53" s="339">
        <f t="shared" si="29"/>
        <v>0</v>
      </c>
      <c r="BS53" s="339"/>
      <c r="BT53" s="339"/>
      <c r="BU53" s="339"/>
      <c r="BV53" s="339"/>
      <c r="BW53" s="339"/>
      <c r="BX53" s="339">
        <f t="shared" si="30"/>
        <v>0</v>
      </c>
      <c r="BZ53" s="339"/>
      <c r="CA53" s="339"/>
      <c r="CB53" s="339"/>
      <c r="CC53" s="339"/>
      <c r="CD53" s="339"/>
      <c r="CE53" s="339">
        <f t="shared" si="31"/>
        <v>0</v>
      </c>
      <c r="CG53" s="339"/>
      <c r="CH53" s="339"/>
      <c r="CI53" s="339"/>
      <c r="CJ53" s="339"/>
      <c r="CK53" s="339"/>
      <c r="CL53" s="339">
        <f t="shared" si="32"/>
        <v>0</v>
      </c>
      <c r="CN53" s="339"/>
      <c r="CO53" s="339"/>
      <c r="CP53" s="339"/>
      <c r="CQ53" s="339"/>
      <c r="CR53" s="339"/>
      <c r="CS53" s="339">
        <f t="shared" si="33"/>
        <v>0</v>
      </c>
      <c r="CU53" s="339"/>
      <c r="CV53" s="339"/>
      <c r="CW53" s="339"/>
      <c r="CX53" s="339"/>
      <c r="CY53" s="339"/>
      <c r="CZ53" s="339">
        <f t="shared" si="34"/>
        <v>0</v>
      </c>
      <c r="DB53" s="339"/>
      <c r="DC53" s="339"/>
      <c r="DD53" s="339"/>
      <c r="DE53" s="339"/>
      <c r="DF53" s="339"/>
      <c r="DG53" s="339">
        <f t="shared" si="17"/>
        <v>0</v>
      </c>
      <c r="DI53" s="339"/>
      <c r="DJ53" s="339"/>
      <c r="DK53" s="339"/>
      <c r="DL53" s="339"/>
      <c r="DM53" s="339"/>
      <c r="DN53" s="339">
        <f t="shared" si="18"/>
        <v>0</v>
      </c>
    </row>
    <row r="54" spans="19:118">
      <c r="S54" s="412"/>
      <c r="T54" s="412"/>
      <c r="V54" s="339">
        <v>1.7</v>
      </c>
      <c r="W54" s="339">
        <v>2.65</v>
      </c>
      <c r="X54" s="339"/>
      <c r="Y54" s="339" t="s">
        <v>710</v>
      </c>
      <c r="Z54" s="339">
        <f>Q7</f>
        <v>3.3000000000000003</v>
      </c>
      <c r="AA54" s="339">
        <f t="shared" si="23"/>
        <v>1.2049999999999996</v>
      </c>
      <c r="AC54" s="339"/>
      <c r="AD54" s="339"/>
      <c r="AE54" s="339"/>
      <c r="AF54" s="339"/>
      <c r="AG54" s="339"/>
      <c r="AH54" s="339">
        <f t="shared" si="24"/>
        <v>0</v>
      </c>
      <c r="AJ54" s="339"/>
      <c r="AK54" s="339"/>
      <c r="AL54" s="339"/>
      <c r="AM54" s="339"/>
      <c r="AN54" s="339"/>
      <c r="AO54" s="339">
        <f t="shared" si="25"/>
        <v>0</v>
      </c>
      <c r="AQ54" s="339"/>
      <c r="AR54" s="339"/>
      <c r="AS54" s="339"/>
      <c r="AT54" s="339"/>
      <c r="AU54" s="339"/>
      <c r="AV54" s="339">
        <f t="shared" si="26"/>
        <v>0</v>
      </c>
      <c r="AX54" s="339"/>
      <c r="AY54" s="339"/>
      <c r="AZ54" s="339"/>
      <c r="BA54" s="339"/>
      <c r="BB54" s="339"/>
      <c r="BC54" s="339">
        <f t="shared" si="27"/>
        <v>0</v>
      </c>
      <c r="BE54" s="339"/>
      <c r="BF54" s="339"/>
      <c r="BG54" s="339"/>
      <c r="BH54" s="339"/>
      <c r="BI54" s="339"/>
      <c r="BJ54" s="339">
        <f t="shared" si="28"/>
        <v>0</v>
      </c>
      <c r="BL54" s="339"/>
      <c r="BM54" s="339"/>
      <c r="BN54" s="339"/>
      <c r="BO54" s="339"/>
      <c r="BP54" s="339"/>
      <c r="BQ54" s="339">
        <f t="shared" si="29"/>
        <v>0</v>
      </c>
      <c r="BS54" s="339"/>
      <c r="BT54" s="339"/>
      <c r="BU54" s="339"/>
      <c r="BV54" s="339"/>
      <c r="BW54" s="339"/>
      <c r="BX54" s="339">
        <f t="shared" si="30"/>
        <v>0</v>
      </c>
      <c r="BZ54" s="339"/>
      <c r="CA54" s="339"/>
      <c r="CB54" s="339"/>
      <c r="CC54" s="339"/>
      <c r="CD54" s="339"/>
      <c r="CE54" s="339">
        <f t="shared" si="31"/>
        <v>0</v>
      </c>
      <c r="CG54" s="339"/>
      <c r="CH54" s="339"/>
      <c r="CI54" s="339"/>
      <c r="CJ54" s="339"/>
      <c r="CK54" s="339"/>
      <c r="CL54" s="339">
        <f t="shared" si="32"/>
        <v>0</v>
      </c>
      <c r="CN54" s="339"/>
      <c r="CO54" s="339"/>
      <c r="CP54" s="339"/>
      <c r="CQ54" s="339"/>
      <c r="CR54" s="339"/>
      <c r="CS54" s="339">
        <f t="shared" si="33"/>
        <v>0</v>
      </c>
      <c r="CU54" s="339"/>
      <c r="CV54" s="339"/>
      <c r="CW54" s="339"/>
      <c r="CX54" s="339"/>
      <c r="CY54" s="339"/>
      <c r="CZ54" s="339">
        <f t="shared" si="34"/>
        <v>0</v>
      </c>
      <c r="DB54" s="339"/>
      <c r="DC54" s="339"/>
      <c r="DD54" s="339"/>
      <c r="DE54" s="339"/>
      <c r="DF54" s="339"/>
      <c r="DG54" s="339">
        <f t="shared" si="17"/>
        <v>0</v>
      </c>
      <c r="DI54" s="339"/>
      <c r="DJ54" s="339"/>
      <c r="DK54" s="339"/>
      <c r="DL54" s="339"/>
      <c r="DM54" s="339"/>
      <c r="DN54" s="339">
        <f t="shared" si="18"/>
        <v>0</v>
      </c>
    </row>
    <row r="55" spans="19:118">
      <c r="S55" s="412"/>
      <c r="T55" s="417"/>
      <c r="V55" s="339">
        <v>3.7</v>
      </c>
      <c r="W55" s="339">
        <v>2.65</v>
      </c>
      <c r="X55" s="339"/>
      <c r="Y55" s="339" t="s">
        <v>711</v>
      </c>
      <c r="Z55" s="339">
        <f>Q6</f>
        <v>7.7000000000000011</v>
      </c>
      <c r="AA55" s="339">
        <f t="shared" si="23"/>
        <v>2.1049999999999986</v>
      </c>
      <c r="AC55" s="339"/>
      <c r="AD55" s="339"/>
      <c r="AE55" s="339"/>
      <c r="AF55" s="339"/>
      <c r="AG55" s="339"/>
      <c r="AH55" s="339">
        <f t="shared" si="24"/>
        <v>0</v>
      </c>
      <c r="AJ55" s="339"/>
      <c r="AK55" s="339"/>
      <c r="AL55" s="339"/>
      <c r="AM55" s="339"/>
      <c r="AN55" s="339"/>
      <c r="AO55" s="339">
        <f t="shared" si="25"/>
        <v>0</v>
      </c>
      <c r="AQ55" s="339"/>
      <c r="AR55" s="339"/>
      <c r="AS55" s="339"/>
      <c r="AT55" s="339"/>
      <c r="AU55" s="339"/>
      <c r="AV55" s="339">
        <f t="shared" si="26"/>
        <v>0</v>
      </c>
      <c r="AX55" s="339"/>
      <c r="AY55" s="339"/>
      <c r="AZ55" s="339"/>
      <c r="BA55" s="339"/>
      <c r="BB55" s="339"/>
      <c r="BC55" s="339">
        <f t="shared" si="27"/>
        <v>0</v>
      </c>
      <c r="BE55" s="339"/>
      <c r="BF55" s="339"/>
      <c r="BG55" s="339"/>
      <c r="BH55" s="339"/>
      <c r="BI55" s="339"/>
      <c r="BJ55" s="339">
        <f t="shared" si="28"/>
        <v>0</v>
      </c>
      <c r="BL55" s="339"/>
      <c r="BM55" s="339"/>
      <c r="BN55" s="339"/>
      <c r="BO55" s="339"/>
      <c r="BP55" s="339"/>
      <c r="BQ55" s="339">
        <f t="shared" si="29"/>
        <v>0</v>
      </c>
      <c r="BS55" s="339"/>
      <c r="BT55" s="339"/>
      <c r="BU55" s="339"/>
      <c r="BV55" s="339"/>
      <c r="BW55" s="339"/>
      <c r="BX55" s="339">
        <f t="shared" si="30"/>
        <v>0</v>
      </c>
      <c r="BZ55" s="339"/>
      <c r="CA55" s="339"/>
      <c r="CB55" s="339"/>
      <c r="CC55" s="339"/>
      <c r="CD55" s="339"/>
      <c r="CE55" s="339">
        <f t="shared" si="31"/>
        <v>0</v>
      </c>
      <c r="CG55" s="339"/>
      <c r="CH55" s="339"/>
      <c r="CI55" s="339"/>
      <c r="CJ55" s="339"/>
      <c r="CK55" s="339"/>
      <c r="CL55" s="339">
        <f t="shared" si="32"/>
        <v>0</v>
      </c>
      <c r="CN55" s="339"/>
      <c r="CO55" s="339"/>
      <c r="CP55" s="339"/>
      <c r="CQ55" s="339"/>
      <c r="CR55" s="339"/>
      <c r="CS55" s="339">
        <f t="shared" si="33"/>
        <v>0</v>
      </c>
      <c r="CU55" s="339"/>
      <c r="CV55" s="339"/>
      <c r="CW55" s="339"/>
      <c r="CX55" s="339"/>
      <c r="CY55" s="339"/>
      <c r="CZ55" s="339">
        <f t="shared" si="34"/>
        <v>0</v>
      </c>
      <c r="DB55" s="339"/>
      <c r="DC55" s="339"/>
      <c r="DD55" s="339"/>
      <c r="DE55" s="339"/>
      <c r="DF55" s="339"/>
      <c r="DG55" s="339">
        <f t="shared" si="17"/>
        <v>0</v>
      </c>
      <c r="DI55" s="339"/>
      <c r="DJ55" s="339"/>
      <c r="DK55" s="339"/>
      <c r="DL55" s="339"/>
      <c r="DM55" s="339"/>
      <c r="DN55" s="339">
        <f t="shared" si="18"/>
        <v>0</v>
      </c>
    </row>
    <row r="56" spans="19:118">
      <c r="S56" s="412"/>
      <c r="T56" s="417"/>
      <c r="V56" s="339">
        <v>1.65</v>
      </c>
      <c r="W56" s="339">
        <v>2.65</v>
      </c>
      <c r="X56" s="339"/>
      <c r="Y56" s="339"/>
      <c r="Z56" s="339"/>
      <c r="AA56" s="339">
        <f t="shared" si="23"/>
        <v>4.3724999999999996</v>
      </c>
      <c r="AC56" s="339"/>
      <c r="AD56" s="339"/>
      <c r="AE56" s="339"/>
      <c r="AF56" s="339"/>
      <c r="AG56" s="339"/>
      <c r="AH56" s="339">
        <f t="shared" si="24"/>
        <v>0</v>
      </c>
      <c r="AJ56" s="339"/>
      <c r="AK56" s="339"/>
      <c r="AL56" s="339"/>
      <c r="AM56" s="339"/>
      <c r="AN56" s="339"/>
      <c r="AO56" s="339">
        <f t="shared" si="25"/>
        <v>0</v>
      </c>
      <c r="AQ56" s="339"/>
      <c r="AR56" s="339"/>
      <c r="AS56" s="339"/>
      <c r="AT56" s="339"/>
      <c r="AU56" s="339"/>
      <c r="AV56" s="339">
        <f t="shared" si="26"/>
        <v>0</v>
      </c>
      <c r="AX56" s="339"/>
      <c r="AY56" s="339"/>
      <c r="AZ56" s="339"/>
      <c r="BA56" s="339"/>
      <c r="BB56" s="339"/>
      <c r="BC56" s="339">
        <f t="shared" si="27"/>
        <v>0</v>
      </c>
      <c r="BE56" s="339"/>
      <c r="BF56" s="339"/>
      <c r="BG56" s="339"/>
      <c r="BH56" s="339"/>
      <c r="BI56" s="339"/>
      <c r="BJ56" s="339">
        <f t="shared" si="28"/>
        <v>0</v>
      </c>
      <c r="BL56" s="339"/>
      <c r="BM56" s="339"/>
      <c r="BN56" s="339"/>
      <c r="BO56" s="339"/>
      <c r="BP56" s="339"/>
      <c r="BQ56" s="339">
        <f t="shared" si="29"/>
        <v>0</v>
      </c>
      <c r="BS56" s="339"/>
      <c r="BT56" s="339"/>
      <c r="BU56" s="339"/>
      <c r="BV56" s="339"/>
      <c r="BW56" s="339"/>
      <c r="BX56" s="339">
        <f t="shared" si="30"/>
        <v>0</v>
      </c>
      <c r="BZ56" s="339"/>
      <c r="CA56" s="339"/>
      <c r="CB56" s="339"/>
      <c r="CC56" s="339"/>
      <c r="CD56" s="339"/>
      <c r="CE56" s="339">
        <f t="shared" si="31"/>
        <v>0</v>
      </c>
      <c r="CG56" s="339"/>
      <c r="CH56" s="339"/>
      <c r="CI56" s="339"/>
      <c r="CJ56" s="339"/>
      <c r="CK56" s="339"/>
      <c r="CL56" s="339">
        <f t="shared" si="32"/>
        <v>0</v>
      </c>
      <c r="CN56" s="339"/>
      <c r="CO56" s="339"/>
      <c r="CP56" s="339"/>
      <c r="CQ56" s="339"/>
      <c r="CR56" s="339"/>
      <c r="CS56" s="339">
        <f t="shared" si="33"/>
        <v>0</v>
      </c>
      <c r="CU56" s="339"/>
      <c r="CV56" s="339"/>
      <c r="CW56" s="339"/>
      <c r="CX56" s="339"/>
      <c r="CY56" s="339"/>
      <c r="CZ56" s="339">
        <f t="shared" si="34"/>
        <v>0</v>
      </c>
      <c r="DB56" s="339"/>
      <c r="DC56" s="339"/>
      <c r="DD56" s="339"/>
      <c r="DE56" s="339"/>
      <c r="DF56" s="339"/>
      <c r="DG56" s="339">
        <f t="shared" si="17"/>
        <v>0</v>
      </c>
      <c r="DI56" s="339"/>
      <c r="DJ56" s="339"/>
      <c r="DK56" s="339"/>
      <c r="DL56" s="339"/>
      <c r="DM56" s="339"/>
      <c r="DN56" s="339">
        <f t="shared" si="18"/>
        <v>0</v>
      </c>
    </row>
    <row r="57" spans="19:118">
      <c r="S57" s="412"/>
      <c r="T57" s="417"/>
      <c r="V57" s="339">
        <v>4.5750000000000002</v>
      </c>
      <c r="W57" s="339">
        <v>2.65</v>
      </c>
      <c r="X57" s="339"/>
      <c r="Y57" s="339" t="s">
        <v>713</v>
      </c>
      <c r="Z57" s="339">
        <f>K2</f>
        <v>10.9375</v>
      </c>
      <c r="AA57" s="339">
        <f t="shared" si="23"/>
        <v>1.1862499999999994</v>
      </c>
      <c r="AC57" s="339"/>
      <c r="AD57" s="339"/>
      <c r="AE57" s="339"/>
      <c r="AF57" s="339"/>
      <c r="AG57" s="339"/>
      <c r="AH57" s="339">
        <f t="shared" si="24"/>
        <v>0</v>
      </c>
      <c r="AJ57" s="339"/>
      <c r="AK57" s="339"/>
      <c r="AL57" s="339"/>
      <c r="AM57" s="339"/>
      <c r="AN57" s="339"/>
      <c r="AO57" s="339">
        <f t="shared" si="25"/>
        <v>0</v>
      </c>
      <c r="AQ57" s="339"/>
      <c r="AR57" s="339"/>
      <c r="AS57" s="339"/>
      <c r="AT57" s="339"/>
      <c r="AU57" s="339"/>
      <c r="AV57" s="339">
        <f t="shared" si="26"/>
        <v>0</v>
      </c>
      <c r="AX57" s="339"/>
      <c r="AY57" s="339"/>
      <c r="AZ57" s="339"/>
      <c r="BA57" s="339"/>
      <c r="BB57" s="339"/>
      <c r="BC57" s="339">
        <f t="shared" si="27"/>
        <v>0</v>
      </c>
      <c r="BE57" s="339"/>
      <c r="BF57" s="339"/>
      <c r="BG57" s="339"/>
      <c r="BH57" s="339"/>
      <c r="BI57" s="339"/>
      <c r="BJ57" s="339">
        <f t="shared" si="28"/>
        <v>0</v>
      </c>
      <c r="BL57" s="339"/>
      <c r="BM57" s="339"/>
      <c r="BN57" s="339"/>
      <c r="BO57" s="339"/>
      <c r="BP57" s="339"/>
      <c r="BQ57" s="339">
        <f t="shared" si="29"/>
        <v>0</v>
      </c>
      <c r="BS57" s="339"/>
      <c r="BT57" s="339"/>
      <c r="BU57" s="339"/>
      <c r="BV57" s="339"/>
      <c r="BW57" s="339"/>
      <c r="BX57" s="339">
        <f t="shared" si="30"/>
        <v>0</v>
      </c>
      <c r="BZ57" s="339"/>
      <c r="CA57" s="339"/>
      <c r="CB57" s="339"/>
      <c r="CC57" s="339"/>
      <c r="CD57" s="339"/>
      <c r="CE57" s="339">
        <f t="shared" si="31"/>
        <v>0</v>
      </c>
      <c r="CG57" s="339"/>
      <c r="CH57" s="339"/>
      <c r="CI57" s="339"/>
      <c r="CJ57" s="339"/>
      <c r="CK57" s="339"/>
      <c r="CL57" s="339">
        <f t="shared" si="32"/>
        <v>0</v>
      </c>
      <c r="CN57" s="339"/>
      <c r="CO57" s="339"/>
      <c r="CP57" s="339"/>
      <c r="CQ57" s="339"/>
      <c r="CR57" s="339"/>
      <c r="CS57" s="339">
        <f t="shared" si="33"/>
        <v>0</v>
      </c>
      <c r="CU57" s="339"/>
      <c r="CV57" s="339"/>
      <c r="CW57" s="339"/>
      <c r="CX57" s="339"/>
      <c r="CY57" s="339"/>
      <c r="CZ57" s="339">
        <f t="shared" si="34"/>
        <v>0</v>
      </c>
      <c r="DB57" s="339"/>
      <c r="DC57" s="339"/>
      <c r="DD57" s="339"/>
      <c r="DE57" s="339"/>
      <c r="DF57" s="339"/>
      <c r="DG57" s="339">
        <f t="shared" si="17"/>
        <v>0</v>
      </c>
      <c r="DI57" s="339"/>
      <c r="DJ57" s="339"/>
      <c r="DK57" s="339"/>
      <c r="DL57" s="339"/>
      <c r="DM57" s="339"/>
      <c r="DN57" s="339">
        <f t="shared" si="18"/>
        <v>0</v>
      </c>
    </row>
    <row r="58" spans="19:118">
      <c r="S58" s="417"/>
      <c r="T58" s="417"/>
      <c r="V58" s="339">
        <v>3.7</v>
      </c>
      <c r="W58" s="339">
        <v>2.65</v>
      </c>
      <c r="X58" s="339"/>
      <c r="Y58" s="339" t="s">
        <v>712</v>
      </c>
      <c r="Z58" s="339">
        <f>K14</f>
        <v>7.7700000000000005</v>
      </c>
      <c r="AA58" s="339">
        <f t="shared" si="23"/>
        <v>2.0349999999999993</v>
      </c>
      <c r="AC58" s="339"/>
      <c r="AD58" s="339"/>
      <c r="AE58" s="339"/>
      <c r="AF58" s="339"/>
      <c r="AG58" s="339"/>
      <c r="AH58" s="339">
        <f t="shared" si="24"/>
        <v>0</v>
      </c>
      <c r="AJ58" s="339"/>
      <c r="AK58" s="339"/>
      <c r="AL58" s="339"/>
      <c r="AM58" s="339"/>
      <c r="AN58" s="339"/>
      <c r="AO58" s="339">
        <f t="shared" si="25"/>
        <v>0</v>
      </c>
      <c r="AQ58" s="339"/>
      <c r="AR58" s="339"/>
      <c r="AS58" s="339"/>
      <c r="AT58" s="339"/>
      <c r="AU58" s="339"/>
      <c r="AV58" s="339">
        <f t="shared" si="26"/>
        <v>0</v>
      </c>
      <c r="AX58" s="339"/>
      <c r="AY58" s="339"/>
      <c r="AZ58" s="339"/>
      <c r="BA58" s="339"/>
      <c r="BB58" s="339"/>
      <c r="BC58" s="339">
        <f t="shared" si="27"/>
        <v>0</v>
      </c>
      <c r="BE58" s="339"/>
      <c r="BF58" s="339"/>
      <c r="BG58" s="339"/>
      <c r="BH58" s="339"/>
      <c r="BI58" s="339"/>
      <c r="BJ58" s="339">
        <f t="shared" si="28"/>
        <v>0</v>
      </c>
      <c r="BL58" s="339"/>
      <c r="BM58" s="339"/>
      <c r="BN58" s="339"/>
      <c r="BO58" s="339"/>
      <c r="BP58" s="339"/>
      <c r="BQ58" s="339">
        <f t="shared" si="29"/>
        <v>0</v>
      </c>
      <c r="BS58" s="339"/>
      <c r="BT58" s="339"/>
      <c r="BU58" s="339"/>
      <c r="BV58" s="339"/>
      <c r="BW58" s="339"/>
      <c r="BX58" s="339">
        <f t="shared" si="30"/>
        <v>0</v>
      </c>
      <c r="BZ58" s="339"/>
      <c r="CA58" s="339"/>
      <c r="CB58" s="339"/>
      <c r="CC58" s="339"/>
      <c r="CD58" s="339"/>
      <c r="CE58" s="339">
        <f t="shared" si="31"/>
        <v>0</v>
      </c>
      <c r="CG58" s="339"/>
      <c r="CH58" s="339"/>
      <c r="CI58" s="339"/>
      <c r="CJ58" s="339"/>
      <c r="CK58" s="339"/>
      <c r="CL58" s="339">
        <f t="shared" si="32"/>
        <v>0</v>
      </c>
      <c r="CN58" s="339"/>
      <c r="CO58" s="339"/>
      <c r="CP58" s="339"/>
      <c r="CQ58" s="339"/>
      <c r="CR58" s="339"/>
      <c r="CS58" s="339">
        <f t="shared" si="33"/>
        <v>0</v>
      </c>
      <c r="CU58" s="339"/>
      <c r="CV58" s="339"/>
      <c r="CW58" s="339"/>
      <c r="CX58" s="339"/>
      <c r="CY58" s="339"/>
      <c r="CZ58" s="339">
        <f t="shared" si="34"/>
        <v>0</v>
      </c>
      <c r="DB58" s="339"/>
      <c r="DC58" s="339"/>
      <c r="DD58" s="339"/>
      <c r="DE58" s="339"/>
      <c r="DF58" s="339"/>
      <c r="DG58" s="339">
        <f t="shared" si="17"/>
        <v>0</v>
      </c>
      <c r="DI58" s="339"/>
      <c r="DJ58" s="339"/>
      <c r="DK58" s="339"/>
      <c r="DL58" s="339"/>
      <c r="DM58" s="339"/>
      <c r="DN58" s="339">
        <f t="shared" si="18"/>
        <v>0</v>
      </c>
    </row>
    <row r="59" spans="19:118">
      <c r="S59" s="417"/>
      <c r="T59" s="417"/>
      <c r="V59" s="339">
        <v>1.65</v>
      </c>
      <c r="W59" s="339">
        <v>2.65</v>
      </c>
      <c r="X59" s="339"/>
      <c r="Y59" s="339"/>
      <c r="Z59" s="339"/>
      <c r="AA59" s="339">
        <f t="shared" si="23"/>
        <v>4.3724999999999996</v>
      </c>
      <c r="AC59" s="339"/>
      <c r="AD59" s="339"/>
      <c r="AE59" s="339"/>
      <c r="AF59" s="339"/>
      <c r="AG59" s="339"/>
      <c r="AH59" s="339">
        <f t="shared" si="24"/>
        <v>0</v>
      </c>
      <c r="AJ59" s="339"/>
      <c r="AK59" s="339"/>
      <c r="AL59" s="339"/>
      <c r="AM59" s="339"/>
      <c r="AN59" s="339"/>
      <c r="AO59" s="339">
        <f t="shared" si="25"/>
        <v>0</v>
      </c>
      <c r="AQ59" s="339"/>
      <c r="AR59" s="339"/>
      <c r="AS59" s="339"/>
      <c r="AT59" s="339"/>
      <c r="AU59" s="339"/>
      <c r="AV59" s="339">
        <f t="shared" si="26"/>
        <v>0</v>
      </c>
      <c r="AX59" s="339"/>
      <c r="AY59" s="339"/>
      <c r="AZ59" s="339"/>
      <c r="BA59" s="339"/>
      <c r="BB59" s="339"/>
      <c r="BC59" s="339">
        <f t="shared" si="27"/>
        <v>0</v>
      </c>
      <c r="BE59" s="339"/>
      <c r="BF59" s="339"/>
      <c r="BG59" s="339"/>
      <c r="BH59" s="339"/>
      <c r="BI59" s="339"/>
      <c r="BJ59" s="339">
        <f t="shared" si="28"/>
        <v>0</v>
      </c>
      <c r="BL59" s="339"/>
      <c r="BM59" s="339"/>
      <c r="BN59" s="339"/>
      <c r="BO59" s="339"/>
      <c r="BP59" s="339"/>
      <c r="BQ59" s="339">
        <f t="shared" si="29"/>
        <v>0</v>
      </c>
      <c r="BS59" s="339"/>
      <c r="BT59" s="339"/>
      <c r="BU59" s="339"/>
      <c r="BV59" s="339"/>
      <c r="BW59" s="339"/>
      <c r="BX59" s="339">
        <f t="shared" si="30"/>
        <v>0</v>
      </c>
      <c r="BZ59" s="339"/>
      <c r="CA59" s="339"/>
      <c r="CB59" s="339"/>
      <c r="CC59" s="339"/>
      <c r="CD59" s="339"/>
      <c r="CE59" s="339">
        <f t="shared" si="31"/>
        <v>0</v>
      </c>
      <c r="CG59" s="339"/>
      <c r="CH59" s="339"/>
      <c r="CI59" s="339"/>
      <c r="CJ59" s="339"/>
      <c r="CK59" s="339"/>
      <c r="CL59" s="339">
        <f t="shared" si="32"/>
        <v>0</v>
      </c>
      <c r="CN59" s="339"/>
      <c r="CO59" s="339"/>
      <c r="CP59" s="339"/>
      <c r="CQ59" s="339"/>
      <c r="CR59" s="339"/>
      <c r="CS59" s="339">
        <f t="shared" si="33"/>
        <v>0</v>
      </c>
      <c r="CU59" s="339"/>
      <c r="CV59" s="339"/>
      <c r="CW59" s="339"/>
      <c r="CX59" s="339"/>
      <c r="CY59" s="339"/>
      <c r="CZ59" s="339">
        <f t="shared" si="34"/>
        <v>0</v>
      </c>
      <c r="DB59" s="339"/>
      <c r="DC59" s="339"/>
      <c r="DD59" s="339"/>
      <c r="DE59" s="339"/>
      <c r="DF59" s="339"/>
      <c r="DG59" s="339">
        <f t="shared" si="17"/>
        <v>0</v>
      </c>
      <c r="DI59" s="339"/>
      <c r="DJ59" s="339"/>
      <c r="DK59" s="339"/>
      <c r="DL59" s="339"/>
      <c r="DM59" s="339"/>
      <c r="DN59" s="339">
        <f t="shared" si="18"/>
        <v>0</v>
      </c>
    </row>
    <row r="60" spans="19:118">
      <c r="S60" s="417"/>
      <c r="T60" s="417"/>
      <c r="V60" s="339">
        <v>4.5750000000000002</v>
      </c>
      <c r="W60" s="339">
        <v>2.65</v>
      </c>
      <c r="X60" s="339"/>
      <c r="Y60" s="339" t="s">
        <v>713</v>
      </c>
      <c r="Z60" s="339">
        <f>K2</f>
        <v>10.9375</v>
      </c>
      <c r="AA60" s="339">
        <f t="shared" si="23"/>
        <v>1.1862499999999994</v>
      </c>
      <c r="AC60" s="339"/>
      <c r="AD60" s="339"/>
      <c r="AE60" s="339"/>
      <c r="AF60" s="339"/>
      <c r="AG60" s="339"/>
      <c r="AH60" s="339">
        <f t="shared" si="24"/>
        <v>0</v>
      </c>
      <c r="AJ60" s="339"/>
      <c r="AK60" s="339"/>
      <c r="AL60" s="339"/>
      <c r="AM60" s="339"/>
      <c r="AN60" s="339"/>
      <c r="AO60" s="339">
        <f t="shared" si="25"/>
        <v>0</v>
      </c>
      <c r="AQ60" s="339"/>
      <c r="AR60" s="339"/>
      <c r="AS60" s="339"/>
      <c r="AT60" s="339"/>
      <c r="AU60" s="339"/>
      <c r="AV60" s="339">
        <f t="shared" si="26"/>
        <v>0</v>
      </c>
      <c r="AX60" s="339"/>
      <c r="AY60" s="339"/>
      <c r="AZ60" s="339"/>
      <c r="BA60" s="339"/>
      <c r="BB60" s="339"/>
      <c r="BC60" s="339">
        <f t="shared" si="27"/>
        <v>0</v>
      </c>
      <c r="BE60" s="339"/>
      <c r="BF60" s="339"/>
      <c r="BG60" s="339"/>
      <c r="BH60" s="339"/>
      <c r="BI60" s="339"/>
      <c r="BJ60" s="339">
        <f t="shared" si="28"/>
        <v>0</v>
      </c>
      <c r="BL60" s="339"/>
      <c r="BM60" s="339"/>
      <c r="BN60" s="339"/>
      <c r="BO60" s="339"/>
      <c r="BP60" s="339"/>
      <c r="BQ60" s="339">
        <f t="shared" si="29"/>
        <v>0</v>
      </c>
      <c r="BS60" s="339"/>
      <c r="BT60" s="339"/>
      <c r="BU60" s="339"/>
      <c r="BV60" s="339"/>
      <c r="BW60" s="339"/>
      <c r="BX60" s="339">
        <f t="shared" si="30"/>
        <v>0</v>
      </c>
      <c r="BZ60" s="339"/>
      <c r="CA60" s="339"/>
      <c r="CB60" s="339"/>
      <c r="CC60" s="339"/>
      <c r="CD60" s="339"/>
      <c r="CE60" s="339">
        <f t="shared" si="31"/>
        <v>0</v>
      </c>
      <c r="CG60" s="339"/>
      <c r="CH60" s="339"/>
      <c r="CI60" s="339"/>
      <c r="CJ60" s="339"/>
      <c r="CK60" s="339"/>
      <c r="CL60" s="339">
        <f t="shared" si="32"/>
        <v>0</v>
      </c>
      <c r="CN60" s="339"/>
      <c r="CO60" s="339"/>
      <c r="CP60" s="339"/>
      <c r="CQ60" s="339"/>
      <c r="CR60" s="339"/>
      <c r="CS60" s="339">
        <f t="shared" si="33"/>
        <v>0</v>
      </c>
      <c r="CU60" s="339"/>
      <c r="CV60" s="339"/>
      <c r="CW60" s="339"/>
      <c r="CX60" s="339"/>
      <c r="CY60" s="339"/>
      <c r="CZ60" s="339">
        <f t="shared" si="34"/>
        <v>0</v>
      </c>
      <c r="DB60" s="339"/>
      <c r="DC60" s="339"/>
      <c r="DD60" s="339"/>
      <c r="DE60" s="339"/>
      <c r="DF60" s="339"/>
      <c r="DG60" s="339">
        <f t="shared" si="17"/>
        <v>0</v>
      </c>
      <c r="DI60" s="339"/>
      <c r="DJ60" s="339"/>
      <c r="DK60" s="339"/>
      <c r="DL60" s="339"/>
      <c r="DM60" s="339"/>
      <c r="DN60" s="339">
        <f t="shared" si="18"/>
        <v>0</v>
      </c>
    </row>
    <row r="61" spans="19:118">
      <c r="S61" s="412"/>
      <c r="T61" s="412"/>
      <c r="V61" s="339">
        <v>3.7</v>
      </c>
      <c r="W61" s="339">
        <v>2.65</v>
      </c>
      <c r="X61" s="339"/>
      <c r="Y61" s="339"/>
      <c r="Z61" s="339"/>
      <c r="AA61" s="339">
        <f t="shared" si="23"/>
        <v>9.8049999999999997</v>
      </c>
      <c r="AC61" s="339"/>
      <c r="AD61" s="339"/>
      <c r="AE61" s="339"/>
      <c r="AF61" s="339"/>
      <c r="AG61" s="339"/>
      <c r="AH61" s="339">
        <f t="shared" si="24"/>
        <v>0</v>
      </c>
      <c r="AJ61" s="339"/>
      <c r="AK61" s="339"/>
      <c r="AL61" s="339"/>
      <c r="AM61" s="339"/>
      <c r="AN61" s="339"/>
      <c r="AO61" s="339">
        <f t="shared" si="25"/>
        <v>0</v>
      </c>
      <c r="AQ61" s="339"/>
      <c r="AR61" s="339"/>
      <c r="AS61" s="339"/>
      <c r="AT61" s="339"/>
      <c r="AU61" s="339"/>
      <c r="AV61" s="339">
        <f t="shared" si="26"/>
        <v>0</v>
      </c>
      <c r="AX61" s="339"/>
      <c r="AY61" s="339"/>
      <c r="AZ61" s="339"/>
      <c r="BA61" s="339"/>
      <c r="BB61" s="339"/>
      <c r="BC61" s="339">
        <f t="shared" si="27"/>
        <v>0</v>
      </c>
      <c r="BE61" s="339"/>
      <c r="BF61" s="339"/>
      <c r="BG61" s="339"/>
      <c r="BH61" s="339"/>
      <c r="BI61" s="339"/>
      <c r="BJ61" s="339">
        <f t="shared" si="28"/>
        <v>0</v>
      </c>
      <c r="BL61" s="339"/>
      <c r="BM61" s="339"/>
      <c r="BN61" s="339"/>
      <c r="BO61" s="339"/>
      <c r="BP61" s="339"/>
      <c r="BQ61" s="339">
        <f t="shared" si="29"/>
        <v>0</v>
      </c>
      <c r="BS61" s="339"/>
      <c r="BT61" s="339"/>
      <c r="BU61" s="339"/>
      <c r="BV61" s="339"/>
      <c r="BW61" s="339"/>
      <c r="BX61" s="339">
        <f t="shared" si="30"/>
        <v>0</v>
      </c>
      <c r="BZ61" s="339"/>
      <c r="CA61" s="339"/>
      <c r="CB61" s="339"/>
      <c r="CC61" s="339"/>
      <c r="CD61" s="339"/>
      <c r="CE61" s="339">
        <f t="shared" si="31"/>
        <v>0</v>
      </c>
      <c r="CG61" s="339"/>
      <c r="CH61" s="339"/>
      <c r="CI61" s="339"/>
      <c r="CJ61" s="339"/>
      <c r="CK61" s="339"/>
      <c r="CL61" s="339">
        <f t="shared" si="32"/>
        <v>0</v>
      </c>
      <c r="CN61" s="339"/>
      <c r="CO61" s="339"/>
      <c r="CP61" s="339"/>
      <c r="CQ61" s="339"/>
      <c r="CR61" s="339"/>
      <c r="CS61" s="339">
        <f t="shared" si="33"/>
        <v>0</v>
      </c>
      <c r="CU61" s="339"/>
      <c r="CV61" s="339"/>
      <c r="CW61" s="339"/>
      <c r="CX61" s="339"/>
      <c r="CY61" s="339"/>
      <c r="CZ61" s="339">
        <f t="shared" si="34"/>
        <v>0</v>
      </c>
      <c r="DB61" s="339"/>
      <c r="DC61" s="339"/>
      <c r="DD61" s="339"/>
      <c r="DE61" s="339"/>
      <c r="DF61" s="339"/>
      <c r="DG61" s="339">
        <f t="shared" si="17"/>
        <v>0</v>
      </c>
      <c r="DI61" s="339"/>
      <c r="DJ61" s="339"/>
      <c r="DK61" s="339"/>
      <c r="DL61" s="339"/>
      <c r="DM61" s="339"/>
      <c r="DN61" s="339">
        <f t="shared" si="18"/>
        <v>0</v>
      </c>
    </row>
    <row r="62" spans="19:118">
      <c r="S62" s="412"/>
      <c r="T62" s="412"/>
      <c r="V62" s="339">
        <v>3.7</v>
      </c>
      <c r="W62" s="339">
        <v>2.65</v>
      </c>
      <c r="X62" s="339"/>
      <c r="Y62" s="339"/>
      <c r="Z62" s="339"/>
      <c r="AA62" s="339">
        <f t="shared" si="23"/>
        <v>9.8049999999999997</v>
      </c>
      <c r="AC62" s="339"/>
      <c r="AD62" s="339"/>
      <c r="AE62" s="339"/>
      <c r="AF62" s="339"/>
      <c r="AG62" s="339"/>
      <c r="AH62" s="339">
        <f t="shared" si="24"/>
        <v>0</v>
      </c>
      <c r="AJ62" s="339"/>
      <c r="AK62" s="339"/>
      <c r="AL62" s="339"/>
      <c r="AM62" s="339"/>
      <c r="AN62" s="339"/>
      <c r="AO62" s="339">
        <f t="shared" si="25"/>
        <v>0</v>
      </c>
      <c r="AQ62" s="339"/>
      <c r="AR62" s="339"/>
      <c r="AS62" s="339"/>
      <c r="AT62" s="339"/>
      <c r="AU62" s="339"/>
      <c r="AV62" s="339">
        <f t="shared" si="26"/>
        <v>0</v>
      </c>
      <c r="AX62" s="339"/>
      <c r="AY62" s="339"/>
      <c r="AZ62" s="339"/>
      <c r="BA62" s="339"/>
      <c r="BB62" s="339"/>
      <c r="BC62" s="339">
        <f t="shared" si="27"/>
        <v>0</v>
      </c>
      <c r="BE62" s="339"/>
      <c r="BF62" s="339"/>
      <c r="BG62" s="339"/>
      <c r="BH62" s="339"/>
      <c r="BI62" s="339"/>
      <c r="BJ62" s="339">
        <f t="shared" si="28"/>
        <v>0</v>
      </c>
      <c r="BL62" s="339"/>
      <c r="BM62" s="339"/>
      <c r="BN62" s="339"/>
      <c r="BO62" s="339"/>
      <c r="BP62" s="339"/>
      <c r="BQ62" s="339">
        <f t="shared" si="29"/>
        <v>0</v>
      </c>
      <c r="BS62" s="339"/>
      <c r="BT62" s="339"/>
      <c r="BU62" s="339"/>
      <c r="BV62" s="339"/>
      <c r="BW62" s="339"/>
      <c r="BX62" s="339">
        <f t="shared" si="30"/>
        <v>0</v>
      </c>
      <c r="BZ62" s="339"/>
      <c r="CA62" s="339"/>
      <c r="CB62" s="339"/>
      <c r="CC62" s="339"/>
      <c r="CD62" s="339"/>
      <c r="CE62" s="339">
        <f t="shared" si="31"/>
        <v>0</v>
      </c>
      <c r="CG62" s="339"/>
      <c r="CH62" s="339"/>
      <c r="CI62" s="339"/>
      <c r="CJ62" s="339"/>
      <c r="CK62" s="339"/>
      <c r="CL62" s="339">
        <f t="shared" si="32"/>
        <v>0</v>
      </c>
      <c r="CN62" s="339"/>
      <c r="CO62" s="339"/>
      <c r="CP62" s="339"/>
      <c r="CQ62" s="339"/>
      <c r="CR62" s="339"/>
      <c r="CS62" s="339">
        <f t="shared" si="33"/>
        <v>0</v>
      </c>
      <c r="CU62" s="339"/>
      <c r="CV62" s="339"/>
      <c r="CW62" s="339"/>
      <c r="CX62" s="339"/>
      <c r="CY62" s="339"/>
      <c r="CZ62" s="339">
        <f t="shared" si="34"/>
        <v>0</v>
      </c>
      <c r="DB62" s="339"/>
      <c r="DC62" s="339"/>
      <c r="DD62" s="339"/>
      <c r="DE62" s="339"/>
      <c r="DF62" s="339"/>
      <c r="DG62" s="339">
        <f t="shared" si="17"/>
        <v>0</v>
      </c>
      <c r="DI62" s="339"/>
      <c r="DJ62" s="339"/>
      <c r="DK62" s="339"/>
      <c r="DL62" s="339"/>
      <c r="DM62" s="339"/>
      <c r="DN62" s="339">
        <f t="shared" si="18"/>
        <v>0</v>
      </c>
    </row>
    <row r="63" spans="19:118">
      <c r="S63" s="412"/>
      <c r="T63" s="412"/>
      <c r="V63" s="339">
        <v>1.65</v>
      </c>
      <c r="W63" s="339">
        <v>2.65</v>
      </c>
      <c r="X63" s="339"/>
      <c r="Y63" s="339"/>
      <c r="Z63" s="339"/>
      <c r="AA63" s="339">
        <f t="shared" si="23"/>
        <v>4.3724999999999996</v>
      </c>
      <c r="AC63" s="339"/>
      <c r="AD63" s="339"/>
      <c r="AE63" s="339"/>
      <c r="AF63" s="339"/>
      <c r="AG63" s="339"/>
      <c r="AH63" s="339">
        <f t="shared" si="24"/>
        <v>0</v>
      </c>
      <c r="AJ63" s="339"/>
      <c r="AK63" s="339"/>
      <c r="AL63" s="339"/>
      <c r="AM63" s="339"/>
      <c r="AN63" s="339"/>
      <c r="AO63" s="339">
        <f t="shared" si="25"/>
        <v>0</v>
      </c>
      <c r="AQ63" s="339"/>
      <c r="AR63" s="339"/>
      <c r="AS63" s="339"/>
      <c r="AT63" s="339"/>
      <c r="AU63" s="339"/>
      <c r="AV63" s="339">
        <f t="shared" si="26"/>
        <v>0</v>
      </c>
      <c r="AX63" s="339"/>
      <c r="AY63" s="339"/>
      <c r="AZ63" s="339"/>
      <c r="BA63" s="339"/>
      <c r="BB63" s="339"/>
      <c r="BC63" s="339">
        <f t="shared" si="27"/>
        <v>0</v>
      </c>
      <c r="BE63" s="339"/>
      <c r="BF63" s="339"/>
      <c r="BG63" s="339"/>
      <c r="BH63" s="339"/>
      <c r="BI63" s="339"/>
      <c r="BJ63" s="339">
        <f t="shared" si="28"/>
        <v>0</v>
      </c>
      <c r="BL63" s="339"/>
      <c r="BM63" s="339"/>
      <c r="BN63" s="339"/>
      <c r="BO63" s="339"/>
      <c r="BP63" s="339"/>
      <c r="BQ63" s="339">
        <f t="shared" si="29"/>
        <v>0</v>
      </c>
      <c r="BS63" s="339"/>
      <c r="BT63" s="339"/>
      <c r="BU63" s="339"/>
      <c r="BV63" s="339"/>
      <c r="BW63" s="339"/>
      <c r="BX63" s="339">
        <f t="shared" si="30"/>
        <v>0</v>
      </c>
      <c r="BZ63" s="339"/>
      <c r="CA63" s="339"/>
      <c r="CB63" s="339"/>
      <c r="CC63" s="339"/>
      <c r="CD63" s="339"/>
      <c r="CE63" s="339">
        <f t="shared" si="31"/>
        <v>0</v>
      </c>
      <c r="CG63" s="339"/>
      <c r="CH63" s="339"/>
      <c r="CI63" s="339"/>
      <c r="CJ63" s="339"/>
      <c r="CK63" s="339"/>
      <c r="CL63" s="339">
        <f t="shared" si="32"/>
        <v>0</v>
      </c>
      <c r="CN63" s="339"/>
      <c r="CO63" s="339"/>
      <c r="CP63" s="339"/>
      <c r="CQ63" s="339"/>
      <c r="CR63" s="339"/>
      <c r="CS63" s="339">
        <f t="shared" si="33"/>
        <v>0</v>
      </c>
      <c r="CU63" s="339"/>
      <c r="CV63" s="339"/>
      <c r="CW63" s="339"/>
      <c r="CX63" s="339"/>
      <c r="CY63" s="339"/>
      <c r="CZ63" s="339">
        <f t="shared" si="34"/>
        <v>0</v>
      </c>
      <c r="DB63" s="339"/>
      <c r="DC63" s="339"/>
      <c r="DD63" s="339"/>
      <c r="DE63" s="339"/>
      <c r="DF63" s="339"/>
      <c r="DG63" s="339">
        <f t="shared" si="17"/>
        <v>0</v>
      </c>
      <c r="DI63" s="339"/>
      <c r="DJ63" s="339"/>
      <c r="DK63" s="339"/>
      <c r="DL63" s="339"/>
      <c r="DM63" s="339"/>
      <c r="DN63" s="339">
        <f t="shared" si="18"/>
        <v>0</v>
      </c>
    </row>
    <row r="64" spans="19:118">
      <c r="S64" s="412"/>
      <c r="T64" s="412"/>
      <c r="V64" s="339">
        <v>4.5750000000000002</v>
      </c>
      <c r="W64" s="339">
        <v>2.65</v>
      </c>
      <c r="X64" s="339"/>
      <c r="Y64" s="339"/>
      <c r="Z64" s="339"/>
      <c r="AA64" s="339">
        <f t="shared" si="22"/>
        <v>12.123749999999999</v>
      </c>
      <c r="AC64" s="339"/>
      <c r="AD64" s="339"/>
      <c r="AE64" s="339"/>
      <c r="AF64" s="339"/>
      <c r="AG64" s="339"/>
      <c r="AH64" s="339">
        <f t="shared" si="6"/>
        <v>0</v>
      </c>
      <c r="AJ64" s="339"/>
      <c r="AK64" s="339"/>
      <c r="AL64" s="339"/>
      <c r="AM64" s="339"/>
      <c r="AN64" s="339"/>
      <c r="AO64" s="339">
        <f t="shared" si="7"/>
        <v>0</v>
      </c>
      <c r="AQ64" s="339"/>
      <c r="AR64" s="339"/>
      <c r="AS64" s="339"/>
      <c r="AT64" s="339"/>
      <c r="AU64" s="339"/>
      <c r="AV64" s="339">
        <f t="shared" si="8"/>
        <v>0</v>
      </c>
      <c r="AX64" s="339"/>
      <c r="AY64" s="339"/>
      <c r="AZ64" s="339"/>
      <c r="BA64" s="339"/>
      <c r="BB64" s="339"/>
      <c r="BC64" s="339">
        <f t="shared" si="9"/>
        <v>0</v>
      </c>
      <c r="BE64" s="339"/>
      <c r="BF64" s="339"/>
      <c r="BG64" s="339"/>
      <c r="BH64" s="339"/>
      <c r="BI64" s="339"/>
      <c r="BJ64" s="339">
        <f t="shared" si="10"/>
        <v>0</v>
      </c>
      <c r="BL64" s="339"/>
      <c r="BM64" s="339"/>
      <c r="BN64" s="339"/>
      <c r="BO64" s="339"/>
      <c r="BP64" s="339"/>
      <c r="BQ64" s="339">
        <f t="shared" si="11"/>
        <v>0</v>
      </c>
      <c r="BS64" s="339"/>
      <c r="BT64" s="339"/>
      <c r="BU64" s="339"/>
      <c r="BV64" s="339"/>
      <c r="BW64" s="339"/>
      <c r="BX64" s="339">
        <f t="shared" si="12"/>
        <v>0</v>
      </c>
      <c r="BZ64" s="339"/>
      <c r="CA64" s="339"/>
      <c r="CB64" s="339"/>
      <c r="CC64" s="339"/>
      <c r="CD64" s="339"/>
      <c r="CE64" s="339">
        <f t="shared" si="13"/>
        <v>0</v>
      </c>
      <c r="CG64" s="339"/>
      <c r="CH64" s="339"/>
      <c r="CI64" s="339"/>
      <c r="CJ64" s="339"/>
      <c r="CK64" s="339"/>
      <c r="CL64" s="339">
        <f t="shared" si="14"/>
        <v>0</v>
      </c>
      <c r="CN64" s="339"/>
      <c r="CO64" s="339"/>
      <c r="CP64" s="339"/>
      <c r="CQ64" s="339"/>
      <c r="CR64" s="339"/>
      <c r="CS64" s="339">
        <f t="shared" si="15"/>
        <v>0</v>
      </c>
      <c r="CU64" s="339"/>
      <c r="CV64" s="339"/>
      <c r="CW64" s="339"/>
      <c r="CX64" s="339"/>
      <c r="CY64" s="339"/>
      <c r="CZ64" s="339">
        <f t="shared" si="16"/>
        <v>0</v>
      </c>
      <c r="DB64" s="339"/>
      <c r="DC64" s="339"/>
      <c r="DD64" s="339"/>
      <c r="DE64" s="339"/>
      <c r="DF64" s="339"/>
      <c r="DG64" s="339">
        <f t="shared" si="17"/>
        <v>0</v>
      </c>
      <c r="DI64" s="339"/>
      <c r="DJ64" s="339"/>
      <c r="DK64" s="339"/>
      <c r="DL64" s="339"/>
      <c r="DM64" s="339"/>
      <c r="DN64" s="339">
        <f t="shared" si="18"/>
        <v>0</v>
      </c>
    </row>
    <row r="65" spans="19:118">
      <c r="S65" s="412"/>
      <c r="T65" s="412"/>
      <c r="V65" s="339">
        <v>2.2000000000000002</v>
      </c>
      <c r="W65" s="339">
        <v>2.65</v>
      </c>
      <c r="X65" s="339"/>
      <c r="Y65" s="339"/>
      <c r="Z65" s="339"/>
      <c r="AA65" s="339">
        <f t="shared" si="22"/>
        <v>5.83</v>
      </c>
      <c r="AC65" s="339"/>
      <c r="AD65" s="339"/>
      <c r="AE65" s="339"/>
      <c r="AF65" s="339"/>
      <c r="AG65" s="339"/>
      <c r="AH65" s="339">
        <f t="shared" si="6"/>
        <v>0</v>
      </c>
      <c r="AJ65" s="339"/>
      <c r="AK65" s="339"/>
      <c r="AL65" s="339"/>
      <c r="AM65" s="339"/>
      <c r="AN65" s="339"/>
      <c r="AO65" s="339">
        <f t="shared" si="7"/>
        <v>0</v>
      </c>
      <c r="AQ65" s="339"/>
      <c r="AR65" s="339"/>
      <c r="AS65" s="339"/>
      <c r="AT65" s="339"/>
      <c r="AU65" s="339"/>
      <c r="AV65" s="339">
        <f t="shared" si="8"/>
        <v>0</v>
      </c>
      <c r="AX65" s="339"/>
      <c r="AY65" s="339"/>
      <c r="AZ65" s="339"/>
      <c r="BA65" s="339"/>
      <c r="BB65" s="339"/>
      <c r="BC65" s="339">
        <f t="shared" si="9"/>
        <v>0</v>
      </c>
      <c r="BE65" s="339"/>
      <c r="BF65" s="339"/>
      <c r="BG65" s="339"/>
      <c r="BH65" s="339"/>
      <c r="BI65" s="339"/>
      <c r="BJ65" s="339">
        <f t="shared" si="10"/>
        <v>0</v>
      </c>
      <c r="BL65" s="339"/>
      <c r="BM65" s="339"/>
      <c r="BN65" s="339"/>
      <c r="BO65" s="339"/>
      <c r="BP65" s="339"/>
      <c r="BQ65" s="339">
        <f t="shared" si="11"/>
        <v>0</v>
      </c>
      <c r="BS65" s="339"/>
      <c r="BT65" s="339"/>
      <c r="BU65" s="339"/>
      <c r="BV65" s="339"/>
      <c r="BW65" s="339"/>
      <c r="BX65" s="339">
        <f t="shared" si="12"/>
        <v>0</v>
      </c>
      <c r="BZ65" s="339"/>
      <c r="CA65" s="339"/>
      <c r="CB65" s="339"/>
      <c r="CC65" s="339"/>
      <c r="CD65" s="339"/>
      <c r="CE65" s="339">
        <f t="shared" si="13"/>
        <v>0</v>
      </c>
      <c r="CG65" s="339"/>
      <c r="CH65" s="339"/>
      <c r="CI65" s="339"/>
      <c r="CJ65" s="339"/>
      <c r="CK65" s="339"/>
      <c r="CL65" s="339">
        <f t="shared" si="14"/>
        <v>0</v>
      </c>
      <c r="CN65" s="339"/>
      <c r="CO65" s="339"/>
      <c r="CP65" s="339"/>
      <c r="CQ65" s="339"/>
      <c r="CR65" s="339"/>
      <c r="CS65" s="339">
        <f t="shared" si="15"/>
        <v>0</v>
      </c>
      <c r="CU65" s="339"/>
      <c r="CV65" s="339"/>
      <c r="CW65" s="339"/>
      <c r="CX65" s="339"/>
      <c r="CY65" s="339"/>
      <c r="CZ65" s="339">
        <f t="shared" si="16"/>
        <v>0</v>
      </c>
      <c r="DB65" s="339"/>
      <c r="DC65" s="339"/>
      <c r="DD65" s="339"/>
      <c r="DE65" s="339"/>
      <c r="DF65" s="339"/>
      <c r="DG65" s="339">
        <f t="shared" si="17"/>
        <v>0</v>
      </c>
      <c r="DI65" s="339"/>
      <c r="DJ65" s="339"/>
      <c r="DK65" s="339"/>
      <c r="DL65" s="339"/>
      <c r="DM65" s="339"/>
      <c r="DN65" s="339">
        <f t="shared" si="18"/>
        <v>0</v>
      </c>
    </row>
    <row r="66" spans="19:118">
      <c r="S66" s="412"/>
      <c r="T66" s="412"/>
      <c r="V66" s="339">
        <v>3.7</v>
      </c>
      <c r="W66" s="339">
        <v>2.65</v>
      </c>
      <c r="X66" s="339"/>
      <c r="Y66" s="339"/>
      <c r="Z66" s="339"/>
      <c r="AA66" s="339">
        <f t="shared" si="22"/>
        <v>9.8049999999999997</v>
      </c>
      <c r="AC66" s="339"/>
      <c r="AD66" s="339"/>
      <c r="AE66" s="339"/>
      <c r="AF66" s="339"/>
      <c r="AG66" s="339"/>
      <c r="AH66" s="339">
        <f t="shared" si="6"/>
        <v>0</v>
      </c>
      <c r="AJ66" s="339"/>
      <c r="AK66" s="339"/>
      <c r="AL66" s="339"/>
      <c r="AM66" s="339"/>
      <c r="AN66" s="339"/>
      <c r="AO66" s="339">
        <f t="shared" si="7"/>
        <v>0</v>
      </c>
      <c r="AQ66" s="339"/>
      <c r="AR66" s="339"/>
      <c r="AS66" s="339"/>
      <c r="AT66" s="339"/>
      <c r="AU66" s="339"/>
      <c r="AV66" s="339">
        <f t="shared" si="8"/>
        <v>0</v>
      </c>
      <c r="AX66" s="339"/>
      <c r="AY66" s="339"/>
      <c r="AZ66" s="339"/>
      <c r="BA66" s="339"/>
      <c r="BB66" s="339"/>
      <c r="BC66" s="339">
        <f t="shared" si="9"/>
        <v>0</v>
      </c>
      <c r="BE66" s="339"/>
      <c r="BF66" s="339"/>
      <c r="BG66" s="339"/>
      <c r="BH66" s="339"/>
      <c r="BI66" s="339"/>
      <c r="BJ66" s="339">
        <f t="shared" si="10"/>
        <v>0</v>
      </c>
      <c r="BL66" s="339"/>
      <c r="BM66" s="339"/>
      <c r="BN66" s="339"/>
      <c r="BO66" s="339"/>
      <c r="BP66" s="339"/>
      <c r="BQ66" s="339">
        <f t="shared" si="11"/>
        <v>0</v>
      </c>
      <c r="BS66" s="339"/>
      <c r="BT66" s="339"/>
      <c r="BU66" s="339"/>
      <c r="BV66" s="339"/>
      <c r="BW66" s="339"/>
      <c r="BX66" s="339">
        <f t="shared" si="12"/>
        <v>0</v>
      </c>
      <c r="BZ66" s="339"/>
      <c r="CA66" s="339"/>
      <c r="CB66" s="339"/>
      <c r="CC66" s="339"/>
      <c r="CD66" s="339"/>
      <c r="CE66" s="339">
        <f t="shared" si="13"/>
        <v>0</v>
      </c>
      <c r="CG66" s="339"/>
      <c r="CH66" s="339"/>
      <c r="CI66" s="339"/>
      <c r="CJ66" s="339"/>
      <c r="CK66" s="339"/>
      <c r="CL66" s="339">
        <f t="shared" si="14"/>
        <v>0</v>
      </c>
      <c r="CN66" s="339"/>
      <c r="CO66" s="339"/>
      <c r="CP66" s="339"/>
      <c r="CQ66" s="339"/>
      <c r="CR66" s="339"/>
      <c r="CS66" s="339">
        <f t="shared" si="15"/>
        <v>0</v>
      </c>
      <c r="CU66" s="339"/>
      <c r="CV66" s="339"/>
      <c r="CW66" s="339"/>
      <c r="CX66" s="339"/>
      <c r="CY66" s="339"/>
      <c r="CZ66" s="339">
        <f t="shared" si="16"/>
        <v>0</v>
      </c>
      <c r="DB66" s="339"/>
      <c r="DC66" s="339"/>
      <c r="DD66" s="339"/>
      <c r="DE66" s="339"/>
      <c r="DF66" s="339"/>
      <c r="DG66" s="339">
        <f t="shared" si="17"/>
        <v>0</v>
      </c>
      <c r="DI66" s="339"/>
      <c r="DJ66" s="339"/>
      <c r="DK66" s="339"/>
      <c r="DL66" s="339"/>
      <c r="DM66" s="339"/>
      <c r="DN66" s="339">
        <f t="shared" si="18"/>
        <v>0</v>
      </c>
    </row>
    <row r="67" spans="19:118">
      <c r="S67" s="412"/>
      <c r="T67" s="417"/>
      <c r="V67" s="339">
        <v>3.7</v>
      </c>
      <c r="W67" s="339">
        <v>2.65</v>
      </c>
      <c r="X67" s="339"/>
      <c r="Y67" s="339"/>
      <c r="Z67" s="339"/>
      <c r="AA67" s="339">
        <f t="shared" si="22"/>
        <v>9.8049999999999997</v>
      </c>
      <c r="AC67" s="339"/>
      <c r="AD67" s="339"/>
      <c r="AE67" s="339"/>
      <c r="AF67" s="339"/>
      <c r="AG67" s="339"/>
      <c r="AH67" s="339">
        <f t="shared" si="6"/>
        <v>0</v>
      </c>
      <c r="AJ67" s="339"/>
      <c r="AK67" s="339"/>
      <c r="AL67" s="339"/>
      <c r="AM67" s="339"/>
      <c r="AN67" s="339"/>
      <c r="AO67" s="339">
        <f t="shared" si="7"/>
        <v>0</v>
      </c>
      <c r="AQ67" s="339"/>
      <c r="AR67" s="339"/>
      <c r="AS67" s="339"/>
      <c r="AT67" s="339"/>
      <c r="AU67" s="339"/>
      <c r="AV67" s="339">
        <f t="shared" si="8"/>
        <v>0</v>
      </c>
      <c r="AX67" s="339"/>
      <c r="AY67" s="339"/>
      <c r="AZ67" s="339"/>
      <c r="BA67" s="339"/>
      <c r="BB67" s="339"/>
      <c r="BC67" s="339">
        <f t="shared" si="9"/>
        <v>0</v>
      </c>
      <c r="BE67" s="339"/>
      <c r="BF67" s="339"/>
      <c r="BG67" s="339"/>
      <c r="BH67" s="339"/>
      <c r="BI67" s="339"/>
      <c r="BJ67" s="339">
        <f t="shared" si="10"/>
        <v>0</v>
      </c>
      <c r="BL67" s="339"/>
      <c r="BM67" s="339"/>
      <c r="BN67" s="339"/>
      <c r="BO67" s="339"/>
      <c r="BP67" s="339"/>
      <c r="BQ67" s="339">
        <f t="shared" si="11"/>
        <v>0</v>
      </c>
      <c r="BS67" s="339"/>
      <c r="BT67" s="339"/>
      <c r="BU67" s="339"/>
      <c r="BV67" s="339"/>
      <c r="BW67" s="339"/>
      <c r="BX67" s="339">
        <f t="shared" si="12"/>
        <v>0</v>
      </c>
      <c r="BZ67" s="339"/>
      <c r="CA67" s="339"/>
      <c r="CB67" s="339"/>
      <c r="CC67" s="339"/>
      <c r="CD67" s="339"/>
      <c r="CE67" s="339">
        <f t="shared" si="13"/>
        <v>0</v>
      </c>
      <c r="CG67" s="339"/>
      <c r="CH67" s="339"/>
      <c r="CI67" s="339"/>
      <c r="CJ67" s="339"/>
      <c r="CK67" s="339"/>
      <c r="CL67" s="339">
        <f t="shared" si="14"/>
        <v>0</v>
      </c>
      <c r="CN67" s="339"/>
      <c r="CO67" s="339"/>
      <c r="CP67" s="339"/>
      <c r="CQ67" s="339"/>
      <c r="CR67" s="339"/>
      <c r="CS67" s="339">
        <f t="shared" si="15"/>
        <v>0</v>
      </c>
      <c r="CU67" s="339"/>
      <c r="CV67" s="339"/>
      <c r="CW67" s="339"/>
      <c r="CX67" s="339"/>
      <c r="CY67" s="339"/>
      <c r="CZ67" s="339">
        <f t="shared" si="16"/>
        <v>0</v>
      </c>
      <c r="DB67" s="339"/>
      <c r="DC67" s="339"/>
      <c r="DD67" s="339"/>
      <c r="DE67" s="339"/>
      <c r="DF67" s="339"/>
      <c r="DG67" s="339">
        <f t="shared" si="17"/>
        <v>0</v>
      </c>
      <c r="DI67" s="339"/>
      <c r="DJ67" s="339"/>
      <c r="DK67" s="339"/>
      <c r="DL67" s="339"/>
      <c r="DM67" s="339"/>
      <c r="DN67" s="339">
        <f t="shared" si="18"/>
        <v>0</v>
      </c>
    </row>
    <row r="68" spans="19:118">
      <c r="S68" s="412"/>
      <c r="T68" s="417"/>
      <c r="V68" s="339">
        <v>1.2</v>
      </c>
      <c r="W68" s="339">
        <v>2.65</v>
      </c>
      <c r="X68" s="339"/>
      <c r="Y68" s="339"/>
      <c r="Z68" s="339"/>
      <c r="AA68" s="339">
        <f t="shared" si="22"/>
        <v>3.1799999999999997</v>
      </c>
      <c r="AC68" s="339"/>
      <c r="AD68" s="339"/>
      <c r="AE68" s="339"/>
      <c r="AF68" s="339"/>
      <c r="AG68" s="339"/>
      <c r="AH68" s="339">
        <f t="shared" si="6"/>
        <v>0</v>
      </c>
      <c r="AJ68" s="339"/>
      <c r="AK68" s="339"/>
      <c r="AL68" s="339"/>
      <c r="AM68" s="339"/>
      <c r="AN68" s="339"/>
      <c r="AO68" s="339">
        <f t="shared" si="7"/>
        <v>0</v>
      </c>
      <c r="AQ68" s="339"/>
      <c r="AR68" s="339"/>
      <c r="AS68" s="339"/>
      <c r="AT68" s="339"/>
      <c r="AU68" s="339"/>
      <c r="AV68" s="339">
        <f t="shared" si="8"/>
        <v>0</v>
      </c>
      <c r="AX68" s="339"/>
      <c r="AY68" s="339"/>
      <c r="AZ68" s="339"/>
      <c r="BA68" s="339"/>
      <c r="BB68" s="339"/>
      <c r="BC68" s="339">
        <f t="shared" si="9"/>
        <v>0</v>
      </c>
      <c r="BE68" s="339"/>
      <c r="BF68" s="339"/>
      <c r="BG68" s="339"/>
      <c r="BH68" s="339"/>
      <c r="BI68" s="339"/>
      <c r="BJ68" s="339">
        <f t="shared" si="10"/>
        <v>0</v>
      </c>
      <c r="BL68" s="339"/>
      <c r="BM68" s="339"/>
      <c r="BN68" s="339"/>
      <c r="BO68" s="339"/>
      <c r="BP68" s="339"/>
      <c r="BQ68" s="339">
        <f t="shared" si="11"/>
        <v>0</v>
      </c>
      <c r="BS68" s="339"/>
      <c r="BT68" s="339"/>
      <c r="BU68" s="339"/>
      <c r="BV68" s="339"/>
      <c r="BW68" s="339"/>
      <c r="BX68" s="339">
        <f t="shared" si="12"/>
        <v>0</v>
      </c>
      <c r="BZ68" s="339"/>
      <c r="CA68" s="339"/>
      <c r="CB68" s="339"/>
      <c r="CC68" s="339"/>
      <c r="CD68" s="339"/>
      <c r="CE68" s="339">
        <f t="shared" si="13"/>
        <v>0</v>
      </c>
      <c r="CG68" s="339"/>
      <c r="CH68" s="339"/>
      <c r="CI68" s="339"/>
      <c r="CJ68" s="339"/>
      <c r="CK68" s="339"/>
      <c r="CL68" s="339">
        <f t="shared" si="14"/>
        <v>0</v>
      </c>
      <c r="CN68" s="339"/>
      <c r="CO68" s="339"/>
      <c r="CP68" s="339"/>
      <c r="CQ68" s="339"/>
      <c r="CR68" s="339"/>
      <c r="CS68" s="339">
        <f t="shared" si="15"/>
        <v>0</v>
      </c>
      <c r="CU68" s="339"/>
      <c r="CV68" s="339"/>
      <c r="CW68" s="339"/>
      <c r="CX68" s="339"/>
      <c r="CY68" s="339"/>
      <c r="CZ68" s="339">
        <f t="shared" si="16"/>
        <v>0</v>
      </c>
      <c r="DB68" s="339"/>
      <c r="DC68" s="339"/>
      <c r="DD68" s="339"/>
      <c r="DE68" s="339"/>
      <c r="DF68" s="339"/>
      <c r="DG68" s="339">
        <f t="shared" si="17"/>
        <v>0</v>
      </c>
      <c r="DI68" s="339"/>
      <c r="DJ68" s="339"/>
      <c r="DK68" s="339"/>
      <c r="DL68" s="339"/>
      <c r="DM68" s="339"/>
      <c r="DN68" s="339">
        <f t="shared" si="18"/>
        <v>0</v>
      </c>
    </row>
    <row r="69" spans="19:118">
      <c r="S69" s="412"/>
      <c r="T69" s="417"/>
      <c r="V69" s="339">
        <v>3.7</v>
      </c>
      <c r="W69" s="339">
        <v>2.65</v>
      </c>
      <c r="X69" s="339"/>
      <c r="Y69" s="339"/>
      <c r="Z69" s="339"/>
      <c r="AA69" s="339">
        <f t="shared" si="22"/>
        <v>9.8049999999999997</v>
      </c>
      <c r="AC69" s="339"/>
      <c r="AD69" s="339"/>
      <c r="AE69" s="339"/>
      <c r="AF69" s="339"/>
      <c r="AG69" s="339"/>
      <c r="AH69" s="339">
        <f t="shared" si="6"/>
        <v>0</v>
      </c>
      <c r="AJ69" s="339"/>
      <c r="AK69" s="339"/>
      <c r="AL69" s="339"/>
      <c r="AM69" s="339"/>
      <c r="AN69" s="339"/>
      <c r="AO69" s="339">
        <f t="shared" si="7"/>
        <v>0</v>
      </c>
      <c r="AQ69" s="339"/>
      <c r="AR69" s="339"/>
      <c r="AS69" s="339"/>
      <c r="AT69" s="339"/>
      <c r="AU69" s="339"/>
      <c r="AV69" s="339">
        <f t="shared" si="8"/>
        <v>0</v>
      </c>
      <c r="AX69" s="339"/>
      <c r="AY69" s="339"/>
      <c r="AZ69" s="339"/>
      <c r="BA69" s="339"/>
      <c r="BB69" s="339"/>
      <c r="BC69" s="339">
        <f t="shared" si="9"/>
        <v>0</v>
      </c>
      <c r="BE69" s="339"/>
      <c r="BF69" s="339"/>
      <c r="BG69" s="339"/>
      <c r="BH69" s="339"/>
      <c r="BI69" s="339"/>
      <c r="BJ69" s="339">
        <f t="shared" si="10"/>
        <v>0</v>
      </c>
      <c r="BL69" s="339"/>
      <c r="BM69" s="339"/>
      <c r="BN69" s="339"/>
      <c r="BO69" s="339"/>
      <c r="BP69" s="339"/>
      <c r="BQ69" s="339">
        <f t="shared" si="11"/>
        <v>0</v>
      </c>
      <c r="BS69" s="339"/>
      <c r="BT69" s="339"/>
      <c r="BU69" s="339"/>
      <c r="BV69" s="339"/>
      <c r="BW69" s="339"/>
      <c r="BX69" s="339">
        <f t="shared" si="12"/>
        <v>0</v>
      </c>
      <c r="BZ69" s="339"/>
      <c r="CA69" s="339"/>
      <c r="CB69" s="339"/>
      <c r="CC69" s="339"/>
      <c r="CD69" s="339"/>
      <c r="CE69" s="339">
        <f t="shared" si="13"/>
        <v>0</v>
      </c>
      <c r="CG69" s="339"/>
      <c r="CH69" s="339"/>
      <c r="CI69" s="339"/>
      <c r="CJ69" s="339"/>
      <c r="CK69" s="339"/>
      <c r="CL69" s="339">
        <f t="shared" si="14"/>
        <v>0</v>
      </c>
      <c r="CN69" s="339"/>
      <c r="CO69" s="339"/>
      <c r="CP69" s="339"/>
      <c r="CQ69" s="339"/>
      <c r="CR69" s="339"/>
      <c r="CS69" s="339">
        <f t="shared" si="15"/>
        <v>0</v>
      </c>
      <c r="CU69" s="339"/>
      <c r="CV69" s="339"/>
      <c r="CW69" s="339"/>
      <c r="CX69" s="339"/>
      <c r="CY69" s="339"/>
      <c r="CZ69" s="339">
        <f t="shared" si="16"/>
        <v>0</v>
      </c>
      <c r="DB69" s="339"/>
      <c r="DC69" s="339"/>
      <c r="DD69" s="339"/>
      <c r="DE69" s="339"/>
      <c r="DF69" s="339"/>
      <c r="DG69" s="339">
        <f t="shared" si="17"/>
        <v>0</v>
      </c>
      <c r="DI69" s="339"/>
      <c r="DJ69" s="339"/>
      <c r="DK69" s="339"/>
      <c r="DL69" s="339"/>
      <c r="DM69" s="339"/>
      <c r="DN69" s="339">
        <f t="shared" si="18"/>
        <v>0</v>
      </c>
    </row>
    <row r="70" spans="19:118">
      <c r="S70" s="417"/>
      <c r="T70" s="417"/>
      <c r="V70" s="339">
        <v>1.27</v>
      </c>
      <c r="W70" s="339">
        <v>2.65</v>
      </c>
      <c r="X70" s="339"/>
      <c r="Y70" s="339"/>
      <c r="Z70" s="339"/>
      <c r="AA70" s="339">
        <f t="shared" si="22"/>
        <v>3.3654999999999999</v>
      </c>
      <c r="AC70" s="339"/>
      <c r="AD70" s="339"/>
      <c r="AE70" s="339"/>
      <c r="AF70" s="339"/>
      <c r="AG70" s="339"/>
      <c r="AH70" s="339">
        <f t="shared" si="6"/>
        <v>0</v>
      </c>
      <c r="AJ70" s="339"/>
      <c r="AK70" s="339"/>
      <c r="AL70" s="339"/>
      <c r="AM70" s="339"/>
      <c r="AN70" s="339"/>
      <c r="AO70" s="339">
        <f t="shared" si="7"/>
        <v>0</v>
      </c>
      <c r="AQ70" s="339"/>
      <c r="AR70" s="339"/>
      <c r="AS70" s="339"/>
      <c r="AT70" s="339"/>
      <c r="AU70" s="339"/>
      <c r="AV70" s="339">
        <f t="shared" si="8"/>
        <v>0</v>
      </c>
      <c r="AX70" s="339"/>
      <c r="AY70" s="339"/>
      <c r="AZ70" s="339"/>
      <c r="BA70" s="339"/>
      <c r="BB70" s="339"/>
      <c r="BC70" s="339">
        <f t="shared" si="9"/>
        <v>0</v>
      </c>
      <c r="BE70" s="339"/>
      <c r="BF70" s="339"/>
      <c r="BG70" s="339"/>
      <c r="BH70" s="339"/>
      <c r="BI70" s="339"/>
      <c r="BJ70" s="339">
        <f t="shared" si="10"/>
        <v>0</v>
      </c>
      <c r="BL70" s="339"/>
      <c r="BM70" s="339"/>
      <c r="BN70" s="339"/>
      <c r="BO70" s="339"/>
      <c r="BP70" s="339"/>
      <c r="BQ70" s="339">
        <f t="shared" si="11"/>
        <v>0</v>
      </c>
      <c r="BS70" s="339"/>
      <c r="BT70" s="339"/>
      <c r="BU70" s="339"/>
      <c r="BV70" s="339"/>
      <c r="BW70" s="339"/>
      <c r="BX70" s="339">
        <f t="shared" si="12"/>
        <v>0</v>
      </c>
      <c r="BZ70" s="339"/>
      <c r="CA70" s="339"/>
      <c r="CB70" s="339"/>
      <c r="CC70" s="339"/>
      <c r="CD70" s="339"/>
      <c r="CE70" s="339">
        <f t="shared" si="13"/>
        <v>0</v>
      </c>
      <c r="CG70" s="339"/>
      <c r="CH70" s="339"/>
      <c r="CI70" s="339"/>
      <c r="CJ70" s="339"/>
      <c r="CK70" s="339"/>
      <c r="CL70" s="339">
        <f t="shared" si="14"/>
        <v>0</v>
      </c>
      <c r="CN70" s="339"/>
      <c r="CO70" s="339"/>
      <c r="CP70" s="339"/>
      <c r="CQ70" s="339"/>
      <c r="CR70" s="339"/>
      <c r="CS70" s="339">
        <f t="shared" si="15"/>
        <v>0</v>
      </c>
      <c r="CU70" s="339"/>
      <c r="CV70" s="339"/>
      <c r="CW70" s="339"/>
      <c r="CX70" s="339"/>
      <c r="CY70" s="339"/>
      <c r="CZ70" s="339">
        <f t="shared" si="16"/>
        <v>0</v>
      </c>
      <c r="DB70" s="339"/>
      <c r="DC70" s="339"/>
      <c r="DD70" s="339"/>
      <c r="DE70" s="339"/>
      <c r="DF70" s="339"/>
      <c r="DG70" s="339">
        <f t="shared" si="17"/>
        <v>0</v>
      </c>
      <c r="DI70" s="339"/>
      <c r="DJ70" s="339"/>
      <c r="DK70" s="339"/>
      <c r="DL70" s="339"/>
      <c r="DM70" s="339"/>
      <c r="DN70" s="339">
        <f t="shared" si="18"/>
        <v>0</v>
      </c>
    </row>
    <row r="71" spans="19:118">
      <c r="S71" s="417"/>
      <c r="T71" s="417"/>
      <c r="V71" s="339">
        <v>1.65</v>
      </c>
      <c r="W71" s="339">
        <v>2.65</v>
      </c>
      <c r="X71" s="339"/>
      <c r="Y71" s="339"/>
      <c r="Z71" s="339"/>
      <c r="AA71" s="339">
        <f t="shared" si="22"/>
        <v>4.3724999999999996</v>
      </c>
      <c r="AC71" s="339"/>
      <c r="AD71" s="339"/>
      <c r="AE71" s="339"/>
      <c r="AF71" s="339"/>
      <c r="AG71" s="339"/>
      <c r="AH71" s="339">
        <f t="shared" si="6"/>
        <v>0</v>
      </c>
      <c r="AJ71" s="339"/>
      <c r="AK71" s="339"/>
      <c r="AL71" s="339"/>
      <c r="AM71" s="339"/>
      <c r="AN71" s="339"/>
      <c r="AO71" s="339">
        <f t="shared" si="7"/>
        <v>0</v>
      </c>
      <c r="AQ71" s="339"/>
      <c r="AR71" s="339"/>
      <c r="AS71" s="339"/>
      <c r="AT71" s="339"/>
      <c r="AU71" s="339"/>
      <c r="AV71" s="339">
        <f t="shared" si="8"/>
        <v>0</v>
      </c>
      <c r="AX71" s="339"/>
      <c r="AY71" s="339"/>
      <c r="AZ71" s="339"/>
      <c r="BA71" s="339"/>
      <c r="BB71" s="339"/>
      <c r="BC71" s="339">
        <f t="shared" si="9"/>
        <v>0</v>
      </c>
      <c r="BE71" s="339"/>
      <c r="BF71" s="339"/>
      <c r="BG71" s="339"/>
      <c r="BH71" s="339"/>
      <c r="BI71" s="339"/>
      <c r="BJ71" s="339">
        <f t="shared" si="10"/>
        <v>0</v>
      </c>
      <c r="BL71" s="339"/>
      <c r="BM71" s="339"/>
      <c r="BN71" s="339"/>
      <c r="BO71" s="339"/>
      <c r="BP71" s="339"/>
      <c r="BQ71" s="339">
        <f t="shared" si="11"/>
        <v>0</v>
      </c>
      <c r="BS71" s="339"/>
      <c r="BT71" s="339"/>
      <c r="BU71" s="339"/>
      <c r="BV71" s="339"/>
      <c r="BW71" s="339"/>
      <c r="BX71" s="339">
        <f t="shared" si="12"/>
        <v>0</v>
      </c>
      <c r="BZ71" s="339"/>
      <c r="CA71" s="339"/>
      <c r="CB71" s="339"/>
      <c r="CC71" s="339"/>
      <c r="CD71" s="339"/>
      <c r="CE71" s="339">
        <f t="shared" si="13"/>
        <v>0</v>
      </c>
      <c r="CG71" s="339"/>
      <c r="CH71" s="339"/>
      <c r="CI71" s="339"/>
      <c r="CJ71" s="339"/>
      <c r="CK71" s="339"/>
      <c r="CL71" s="339">
        <f t="shared" si="14"/>
        <v>0</v>
      </c>
      <c r="CN71" s="339"/>
      <c r="CO71" s="339"/>
      <c r="CP71" s="339"/>
      <c r="CQ71" s="339"/>
      <c r="CR71" s="339"/>
      <c r="CS71" s="339">
        <f t="shared" si="15"/>
        <v>0</v>
      </c>
      <c r="CU71" s="339"/>
      <c r="CV71" s="339"/>
      <c r="CW71" s="339"/>
      <c r="CX71" s="339"/>
      <c r="CY71" s="339"/>
      <c r="CZ71" s="339">
        <f t="shared" si="16"/>
        <v>0</v>
      </c>
      <c r="DB71" s="339"/>
      <c r="DC71" s="339"/>
      <c r="DD71" s="339"/>
      <c r="DE71" s="339"/>
      <c r="DF71" s="339"/>
      <c r="DG71" s="339">
        <f t="shared" si="17"/>
        <v>0</v>
      </c>
      <c r="DI71" s="339"/>
      <c r="DJ71" s="339"/>
      <c r="DK71" s="339"/>
      <c r="DL71" s="339"/>
      <c r="DM71" s="339"/>
      <c r="DN71" s="339">
        <f t="shared" si="18"/>
        <v>0</v>
      </c>
    </row>
    <row r="72" spans="19:118">
      <c r="S72" s="417"/>
      <c r="T72" s="417"/>
      <c r="V72" s="339">
        <v>1</v>
      </c>
      <c r="W72" s="339">
        <v>2.65</v>
      </c>
      <c r="X72" s="339"/>
      <c r="Y72" s="339"/>
      <c r="Z72" s="339"/>
      <c r="AA72" s="339">
        <f t="shared" si="22"/>
        <v>2.65</v>
      </c>
      <c r="AC72" s="339"/>
      <c r="AD72" s="339"/>
      <c r="AE72" s="339"/>
      <c r="AF72" s="339"/>
      <c r="AG72" s="339"/>
      <c r="AH72" s="339">
        <f t="shared" si="6"/>
        <v>0</v>
      </c>
      <c r="AJ72" s="339"/>
      <c r="AK72" s="339"/>
      <c r="AL72" s="339"/>
      <c r="AM72" s="339"/>
      <c r="AN72" s="339"/>
      <c r="AO72" s="339">
        <f t="shared" si="7"/>
        <v>0</v>
      </c>
      <c r="AQ72" s="339"/>
      <c r="AR72" s="339"/>
      <c r="AS72" s="339"/>
      <c r="AT72" s="339"/>
      <c r="AU72" s="339"/>
      <c r="AV72" s="339">
        <f t="shared" si="8"/>
        <v>0</v>
      </c>
      <c r="AX72" s="339"/>
      <c r="AY72" s="339"/>
      <c r="AZ72" s="339"/>
      <c r="BA72" s="339"/>
      <c r="BB72" s="339"/>
      <c r="BC72" s="339">
        <f t="shared" si="9"/>
        <v>0</v>
      </c>
      <c r="BE72" s="339"/>
      <c r="BF72" s="339"/>
      <c r="BG72" s="339"/>
      <c r="BH72" s="339"/>
      <c r="BI72" s="339"/>
      <c r="BJ72" s="339">
        <f t="shared" si="10"/>
        <v>0</v>
      </c>
      <c r="BL72" s="339"/>
      <c r="BM72" s="339"/>
      <c r="BN72" s="339"/>
      <c r="BO72" s="339"/>
      <c r="BP72" s="339"/>
      <c r="BQ72" s="339">
        <f t="shared" si="11"/>
        <v>0</v>
      </c>
      <c r="BS72" s="339"/>
      <c r="BT72" s="339"/>
      <c r="BU72" s="339"/>
      <c r="BV72" s="339"/>
      <c r="BW72" s="339"/>
      <c r="BX72" s="339">
        <f t="shared" si="12"/>
        <v>0</v>
      </c>
      <c r="BZ72" s="339"/>
      <c r="CA72" s="339"/>
      <c r="CB72" s="339"/>
      <c r="CC72" s="339"/>
      <c r="CD72" s="339"/>
      <c r="CE72" s="339">
        <f t="shared" si="13"/>
        <v>0</v>
      </c>
      <c r="CG72" s="339"/>
      <c r="CH72" s="339"/>
      <c r="CI72" s="339"/>
      <c r="CJ72" s="339"/>
      <c r="CK72" s="339"/>
      <c r="CL72" s="339">
        <f t="shared" si="14"/>
        <v>0</v>
      </c>
      <c r="CN72" s="339"/>
      <c r="CO72" s="339"/>
      <c r="CP72" s="339"/>
      <c r="CQ72" s="339"/>
      <c r="CR72" s="339"/>
      <c r="CS72" s="339">
        <f t="shared" si="15"/>
        <v>0</v>
      </c>
      <c r="CU72" s="339"/>
      <c r="CV72" s="339"/>
      <c r="CW72" s="339"/>
      <c r="CX72" s="339"/>
      <c r="CY72" s="339"/>
      <c r="CZ72" s="339">
        <f t="shared" si="16"/>
        <v>0</v>
      </c>
      <c r="DB72" s="339"/>
      <c r="DC72" s="339"/>
      <c r="DD72" s="339"/>
      <c r="DE72" s="339"/>
      <c r="DF72" s="339"/>
      <c r="DG72" s="339">
        <f t="shared" si="17"/>
        <v>0</v>
      </c>
      <c r="DI72" s="339"/>
      <c r="DJ72" s="339"/>
      <c r="DK72" s="339"/>
      <c r="DL72" s="339"/>
      <c r="DM72" s="339"/>
      <c r="DN72" s="339">
        <f t="shared" si="18"/>
        <v>0</v>
      </c>
    </row>
    <row r="73" spans="19:118">
      <c r="S73" s="412"/>
      <c r="T73" s="412"/>
      <c r="V73" s="339">
        <v>1.8</v>
      </c>
      <c r="W73" s="339">
        <v>2.65</v>
      </c>
      <c r="X73" s="339"/>
      <c r="Y73" s="339"/>
      <c r="Z73" s="339"/>
      <c r="AA73" s="339">
        <f t="shared" si="22"/>
        <v>4.7699999999999996</v>
      </c>
      <c r="AC73" s="339"/>
      <c r="AD73" s="339"/>
      <c r="AE73" s="339"/>
      <c r="AF73" s="339"/>
      <c r="AG73" s="339"/>
      <c r="AH73" s="339">
        <f t="shared" si="6"/>
        <v>0</v>
      </c>
      <c r="AJ73" s="339"/>
      <c r="AK73" s="339"/>
      <c r="AL73" s="339"/>
      <c r="AM73" s="339"/>
      <c r="AN73" s="339"/>
      <c r="AO73" s="339">
        <f t="shared" si="7"/>
        <v>0</v>
      </c>
      <c r="AQ73" s="339"/>
      <c r="AR73" s="339"/>
      <c r="AS73" s="339"/>
      <c r="AT73" s="339"/>
      <c r="AU73" s="339"/>
      <c r="AV73" s="339">
        <f t="shared" si="8"/>
        <v>0</v>
      </c>
      <c r="AX73" s="339"/>
      <c r="AY73" s="339"/>
      <c r="AZ73" s="339"/>
      <c r="BA73" s="339"/>
      <c r="BB73" s="339"/>
      <c r="BC73" s="339">
        <f t="shared" si="9"/>
        <v>0</v>
      </c>
      <c r="BE73" s="339"/>
      <c r="BF73" s="339"/>
      <c r="BG73" s="339"/>
      <c r="BH73" s="339"/>
      <c r="BI73" s="339"/>
      <c r="BJ73" s="339">
        <f t="shared" si="10"/>
        <v>0</v>
      </c>
      <c r="BL73" s="339"/>
      <c r="BM73" s="339"/>
      <c r="BN73" s="339"/>
      <c r="BO73" s="339"/>
      <c r="BP73" s="339"/>
      <c r="BQ73" s="339">
        <f t="shared" si="11"/>
        <v>0</v>
      </c>
      <c r="BS73" s="339"/>
      <c r="BT73" s="339"/>
      <c r="BU73" s="339"/>
      <c r="BV73" s="339"/>
      <c r="BW73" s="339"/>
      <c r="BX73" s="339">
        <f t="shared" si="12"/>
        <v>0</v>
      </c>
      <c r="BZ73" s="339"/>
      <c r="CA73" s="339"/>
      <c r="CB73" s="339"/>
      <c r="CC73" s="339"/>
      <c r="CD73" s="339"/>
      <c r="CE73" s="339">
        <f t="shared" si="13"/>
        <v>0</v>
      </c>
      <c r="CG73" s="339"/>
      <c r="CH73" s="339"/>
      <c r="CI73" s="339"/>
      <c r="CJ73" s="339"/>
      <c r="CK73" s="339"/>
      <c r="CL73" s="339">
        <f t="shared" si="14"/>
        <v>0</v>
      </c>
      <c r="CN73" s="339"/>
      <c r="CO73" s="339"/>
      <c r="CP73" s="339"/>
      <c r="CQ73" s="339"/>
      <c r="CR73" s="339"/>
      <c r="CS73" s="339">
        <f t="shared" si="15"/>
        <v>0</v>
      </c>
      <c r="CU73" s="339"/>
      <c r="CV73" s="339"/>
      <c r="CW73" s="339"/>
      <c r="CX73" s="339"/>
      <c r="CY73" s="339"/>
      <c r="CZ73" s="339">
        <f t="shared" si="16"/>
        <v>0</v>
      </c>
      <c r="DB73" s="339"/>
      <c r="DC73" s="339"/>
      <c r="DD73" s="339"/>
      <c r="DE73" s="339"/>
      <c r="DF73" s="339"/>
      <c r="DG73" s="339">
        <f t="shared" si="17"/>
        <v>0</v>
      </c>
      <c r="DI73" s="339"/>
      <c r="DJ73" s="339"/>
      <c r="DK73" s="339"/>
      <c r="DL73" s="339"/>
      <c r="DM73" s="339"/>
      <c r="DN73" s="339">
        <f t="shared" si="18"/>
        <v>0</v>
      </c>
    </row>
    <row r="74" spans="19:118">
      <c r="S74" s="412"/>
      <c r="T74" s="412"/>
      <c r="V74" s="339">
        <v>1.6</v>
      </c>
      <c r="W74" s="339">
        <v>2.65</v>
      </c>
      <c r="X74" s="339"/>
      <c r="Y74" s="339"/>
      <c r="Z74" s="339"/>
      <c r="AA74" s="339">
        <f t="shared" si="22"/>
        <v>4.24</v>
      </c>
      <c r="AC74" s="339"/>
      <c r="AD74" s="339"/>
      <c r="AE74" s="339"/>
      <c r="AF74" s="339"/>
      <c r="AG74" s="339"/>
      <c r="AH74" s="339">
        <f t="shared" si="6"/>
        <v>0</v>
      </c>
      <c r="AJ74" s="339"/>
      <c r="AK74" s="339"/>
      <c r="AL74" s="339"/>
      <c r="AM74" s="339"/>
      <c r="AN74" s="339"/>
      <c r="AO74" s="339">
        <f t="shared" si="7"/>
        <v>0</v>
      </c>
      <c r="AQ74" s="339"/>
      <c r="AR74" s="339"/>
      <c r="AS74" s="339"/>
      <c r="AT74" s="339"/>
      <c r="AU74" s="339"/>
      <c r="AV74" s="339">
        <f t="shared" si="8"/>
        <v>0</v>
      </c>
      <c r="AX74" s="339"/>
      <c r="AY74" s="339"/>
      <c r="AZ74" s="339"/>
      <c r="BA74" s="339"/>
      <c r="BB74" s="339"/>
      <c r="BC74" s="339">
        <f t="shared" si="9"/>
        <v>0</v>
      </c>
      <c r="BE74" s="339"/>
      <c r="BF74" s="339"/>
      <c r="BG74" s="339"/>
      <c r="BH74" s="339"/>
      <c r="BI74" s="339"/>
      <c r="BJ74" s="339">
        <f t="shared" si="10"/>
        <v>0</v>
      </c>
      <c r="BL74" s="339"/>
      <c r="BM74" s="339"/>
      <c r="BN74" s="339"/>
      <c r="BO74" s="339"/>
      <c r="BP74" s="339"/>
      <c r="BQ74" s="339">
        <f t="shared" si="11"/>
        <v>0</v>
      </c>
      <c r="BS74" s="339"/>
      <c r="BT74" s="339"/>
      <c r="BU74" s="339"/>
      <c r="BV74" s="339"/>
      <c r="BW74" s="339"/>
      <c r="BX74" s="339">
        <f t="shared" si="12"/>
        <v>0</v>
      </c>
      <c r="BZ74" s="339"/>
      <c r="CA74" s="339"/>
      <c r="CB74" s="339"/>
      <c r="CC74" s="339"/>
      <c r="CD74" s="339"/>
      <c r="CE74" s="339">
        <f t="shared" si="13"/>
        <v>0</v>
      </c>
      <c r="CG74" s="339"/>
      <c r="CH74" s="339"/>
      <c r="CI74" s="339"/>
      <c r="CJ74" s="339"/>
      <c r="CK74" s="339"/>
      <c r="CL74" s="339">
        <f t="shared" si="14"/>
        <v>0</v>
      </c>
      <c r="CN74" s="339"/>
      <c r="CO74" s="339"/>
      <c r="CP74" s="339"/>
      <c r="CQ74" s="339"/>
      <c r="CR74" s="339"/>
      <c r="CS74" s="339">
        <f t="shared" si="15"/>
        <v>0</v>
      </c>
      <c r="CU74" s="339"/>
      <c r="CV74" s="339"/>
      <c r="CW74" s="339"/>
      <c r="CX74" s="339"/>
      <c r="CY74" s="339"/>
      <c r="CZ74" s="339">
        <f t="shared" si="16"/>
        <v>0</v>
      </c>
      <c r="DB74" s="339"/>
      <c r="DC74" s="339"/>
      <c r="DD74" s="339"/>
      <c r="DE74" s="339"/>
      <c r="DF74" s="339"/>
      <c r="DG74" s="339">
        <f t="shared" si="17"/>
        <v>0</v>
      </c>
      <c r="DI74" s="339"/>
      <c r="DJ74" s="339"/>
      <c r="DK74" s="339"/>
      <c r="DL74" s="339"/>
      <c r="DM74" s="339"/>
      <c r="DN74" s="339">
        <f t="shared" si="18"/>
        <v>0</v>
      </c>
    </row>
    <row r="75" spans="19:118">
      <c r="S75" s="412"/>
      <c r="T75" s="412"/>
      <c r="V75" s="339">
        <v>1.575</v>
      </c>
      <c r="W75" s="339">
        <v>2.65</v>
      </c>
      <c r="X75" s="339"/>
      <c r="Y75" s="339"/>
      <c r="Z75" s="339"/>
      <c r="AA75" s="339">
        <f t="shared" si="22"/>
        <v>4.1737500000000001</v>
      </c>
      <c r="AC75" s="339"/>
      <c r="AD75" s="339"/>
      <c r="AE75" s="339"/>
      <c r="AF75" s="339"/>
      <c r="AG75" s="339"/>
      <c r="AH75" s="339">
        <f t="shared" si="6"/>
        <v>0</v>
      </c>
      <c r="AJ75" s="339"/>
      <c r="AK75" s="339"/>
      <c r="AL75" s="339"/>
      <c r="AM75" s="339"/>
      <c r="AN75" s="339"/>
      <c r="AO75" s="339">
        <f t="shared" si="7"/>
        <v>0</v>
      </c>
      <c r="AQ75" s="339"/>
      <c r="AR75" s="339"/>
      <c r="AS75" s="339"/>
      <c r="AT75" s="339"/>
      <c r="AU75" s="339"/>
      <c r="AV75" s="339">
        <f t="shared" si="8"/>
        <v>0</v>
      </c>
      <c r="AX75" s="339"/>
      <c r="AY75" s="339"/>
      <c r="AZ75" s="339"/>
      <c r="BA75" s="339"/>
      <c r="BB75" s="339"/>
      <c r="BC75" s="339">
        <f t="shared" si="9"/>
        <v>0</v>
      </c>
      <c r="BE75" s="339"/>
      <c r="BF75" s="339"/>
      <c r="BG75" s="339"/>
      <c r="BH75" s="339"/>
      <c r="BI75" s="339"/>
      <c r="BJ75" s="339">
        <f t="shared" si="10"/>
        <v>0</v>
      </c>
      <c r="BL75" s="339"/>
      <c r="BM75" s="339"/>
      <c r="BN75" s="339"/>
      <c r="BO75" s="339"/>
      <c r="BP75" s="339"/>
      <c r="BQ75" s="339">
        <f t="shared" si="11"/>
        <v>0</v>
      </c>
      <c r="BS75" s="339"/>
      <c r="BT75" s="339"/>
      <c r="BU75" s="339"/>
      <c r="BV75" s="339"/>
      <c r="BW75" s="339"/>
      <c r="BX75" s="339">
        <f t="shared" si="12"/>
        <v>0</v>
      </c>
      <c r="BZ75" s="339"/>
      <c r="CA75" s="339"/>
      <c r="CB75" s="339"/>
      <c r="CC75" s="339"/>
      <c r="CD75" s="339"/>
      <c r="CE75" s="339">
        <f t="shared" si="13"/>
        <v>0</v>
      </c>
      <c r="CG75" s="339"/>
      <c r="CH75" s="339"/>
      <c r="CI75" s="339"/>
      <c r="CJ75" s="339"/>
      <c r="CK75" s="339"/>
      <c r="CL75" s="339">
        <f t="shared" si="14"/>
        <v>0</v>
      </c>
      <c r="CN75" s="339"/>
      <c r="CO75" s="339"/>
      <c r="CP75" s="339"/>
      <c r="CQ75" s="339"/>
      <c r="CR75" s="339"/>
      <c r="CS75" s="339">
        <f t="shared" si="15"/>
        <v>0</v>
      </c>
      <c r="CU75" s="339"/>
      <c r="CV75" s="339"/>
      <c r="CW75" s="339"/>
      <c r="CX75" s="339"/>
      <c r="CY75" s="339"/>
      <c r="CZ75" s="339">
        <f t="shared" si="16"/>
        <v>0</v>
      </c>
      <c r="DB75" s="339"/>
      <c r="DC75" s="339"/>
      <c r="DD75" s="339"/>
      <c r="DE75" s="339"/>
      <c r="DF75" s="339"/>
      <c r="DG75" s="339">
        <f t="shared" si="17"/>
        <v>0</v>
      </c>
      <c r="DI75" s="339"/>
      <c r="DJ75" s="339"/>
      <c r="DK75" s="339"/>
      <c r="DL75" s="339"/>
      <c r="DM75" s="339"/>
      <c r="DN75" s="339">
        <f t="shared" si="18"/>
        <v>0</v>
      </c>
    </row>
    <row r="76" spans="19:118">
      <c r="S76" s="412"/>
      <c r="T76" s="412"/>
      <c r="V76" s="339">
        <v>1.575</v>
      </c>
      <c r="W76" s="339">
        <v>2.65</v>
      </c>
      <c r="X76" s="339"/>
      <c r="Y76" s="339"/>
      <c r="Z76" s="339"/>
      <c r="AA76" s="339">
        <f t="shared" ref="AA76:AA87" si="35">V76*W76+X76-Z76</f>
        <v>4.1737500000000001</v>
      </c>
      <c r="AC76" s="339"/>
      <c r="AD76" s="339"/>
      <c r="AE76" s="339"/>
      <c r="AF76" s="339"/>
      <c r="AG76" s="339"/>
      <c r="AH76" s="339">
        <f t="shared" ref="AH76:AH87" si="36">AC76*AD76+AE76-AG76</f>
        <v>0</v>
      </c>
      <c r="AJ76" s="339"/>
      <c r="AK76" s="339"/>
      <c r="AL76" s="339"/>
      <c r="AM76" s="339"/>
      <c r="AN76" s="339"/>
      <c r="AO76" s="339">
        <f t="shared" ref="AO76:AO87" si="37">AJ76*AK76+AL76-AN76</f>
        <v>0</v>
      </c>
      <c r="AQ76" s="339"/>
      <c r="AR76" s="339"/>
      <c r="AS76" s="339"/>
      <c r="AT76" s="339"/>
      <c r="AU76" s="339"/>
      <c r="AV76" s="339">
        <f t="shared" ref="AV76:AV87" si="38">AQ76*AR76+AS76-AU76</f>
        <v>0</v>
      </c>
      <c r="AX76" s="339"/>
      <c r="AY76" s="339"/>
      <c r="AZ76" s="339"/>
      <c r="BA76" s="339"/>
      <c r="BB76" s="339"/>
      <c r="BC76" s="339">
        <f t="shared" ref="BC76:BC87" si="39">AX76*AY76+AZ76-BB76</f>
        <v>0</v>
      </c>
      <c r="BE76" s="339"/>
      <c r="BF76" s="339"/>
      <c r="BG76" s="339"/>
      <c r="BH76" s="339"/>
      <c r="BI76" s="339"/>
      <c r="BJ76" s="339">
        <f t="shared" ref="BJ76:BJ87" si="40">BE76*BF76+BG76-BI76</f>
        <v>0</v>
      </c>
      <c r="BL76" s="339"/>
      <c r="BM76" s="339"/>
      <c r="BN76" s="339"/>
      <c r="BO76" s="339"/>
      <c r="BP76" s="339"/>
      <c r="BQ76" s="339">
        <f t="shared" ref="BQ76:BQ87" si="41">BL76*BM76+BN76-BP76</f>
        <v>0</v>
      </c>
      <c r="BS76" s="339"/>
      <c r="BT76" s="339"/>
      <c r="BU76" s="339"/>
      <c r="BV76" s="339"/>
      <c r="BW76" s="339"/>
      <c r="BX76" s="339">
        <f t="shared" ref="BX76:BX87" si="42">BS76*BT76+BU76-BW76</f>
        <v>0</v>
      </c>
      <c r="BZ76" s="339"/>
      <c r="CA76" s="339"/>
      <c r="CB76" s="339"/>
      <c r="CC76" s="339"/>
      <c r="CD76" s="339"/>
      <c r="CE76" s="339">
        <f t="shared" ref="CE76:CE87" si="43">BZ76*CA76+CB76-CD76</f>
        <v>0</v>
      </c>
      <c r="CG76" s="339"/>
      <c r="CH76" s="339"/>
      <c r="CI76" s="339"/>
      <c r="CJ76" s="339"/>
      <c r="CK76" s="339"/>
      <c r="CL76" s="339">
        <f t="shared" ref="CL76:CL87" si="44">CG76*CH76+CI76-CK76</f>
        <v>0</v>
      </c>
      <c r="CN76" s="339"/>
      <c r="CO76" s="339"/>
      <c r="CP76" s="339"/>
      <c r="CQ76" s="339"/>
      <c r="CR76" s="339"/>
      <c r="CS76" s="339">
        <f t="shared" ref="CS76:CS87" si="45">CN76*CO76+CP76-CR76</f>
        <v>0</v>
      </c>
      <c r="CU76" s="339"/>
      <c r="CV76" s="339"/>
      <c r="CW76" s="339"/>
      <c r="CX76" s="339"/>
      <c r="CY76" s="339"/>
      <c r="CZ76" s="339">
        <f t="shared" ref="CZ76:CZ87" si="46">CU76*CV76+CW76-CY76</f>
        <v>0</v>
      </c>
      <c r="DB76" s="339"/>
      <c r="DC76" s="339"/>
      <c r="DD76" s="339"/>
      <c r="DE76" s="339"/>
      <c r="DF76" s="339"/>
      <c r="DG76" s="339">
        <f t="shared" si="17"/>
        <v>0</v>
      </c>
      <c r="DI76" s="339"/>
      <c r="DJ76" s="339"/>
      <c r="DK76" s="339"/>
      <c r="DL76" s="339"/>
      <c r="DM76" s="339"/>
      <c r="DN76" s="339">
        <f t="shared" si="18"/>
        <v>0</v>
      </c>
    </row>
    <row r="77" spans="19:118">
      <c r="S77" s="412"/>
      <c r="T77" s="412"/>
      <c r="V77" s="339">
        <v>3.7</v>
      </c>
      <c r="W77" s="339">
        <v>2.65</v>
      </c>
      <c r="X77" s="339"/>
      <c r="Y77" s="339" t="s">
        <v>714</v>
      </c>
      <c r="Z77" s="339">
        <f>K1</f>
        <v>9.25</v>
      </c>
      <c r="AA77" s="339">
        <f t="shared" si="35"/>
        <v>0.55499999999999972</v>
      </c>
      <c r="AC77" s="339"/>
      <c r="AD77" s="339"/>
      <c r="AE77" s="339"/>
      <c r="AF77" s="339"/>
      <c r="AG77" s="339"/>
      <c r="AH77" s="339">
        <f t="shared" si="36"/>
        <v>0</v>
      </c>
      <c r="AJ77" s="339"/>
      <c r="AK77" s="339"/>
      <c r="AL77" s="339"/>
      <c r="AM77" s="339"/>
      <c r="AN77" s="339"/>
      <c r="AO77" s="339">
        <f t="shared" si="37"/>
        <v>0</v>
      </c>
      <c r="AQ77" s="339"/>
      <c r="AR77" s="339"/>
      <c r="AS77" s="339"/>
      <c r="AT77" s="339"/>
      <c r="AU77" s="339"/>
      <c r="AV77" s="339">
        <f t="shared" si="38"/>
        <v>0</v>
      </c>
      <c r="AX77" s="339"/>
      <c r="AY77" s="339"/>
      <c r="AZ77" s="339"/>
      <c r="BA77" s="339"/>
      <c r="BB77" s="339"/>
      <c r="BC77" s="339">
        <f t="shared" si="39"/>
        <v>0</v>
      </c>
      <c r="BE77" s="339"/>
      <c r="BF77" s="339"/>
      <c r="BG77" s="339"/>
      <c r="BH77" s="339"/>
      <c r="BI77" s="339"/>
      <c r="BJ77" s="339">
        <f t="shared" si="40"/>
        <v>0</v>
      </c>
      <c r="BL77" s="339"/>
      <c r="BM77" s="339"/>
      <c r="BN77" s="339"/>
      <c r="BO77" s="339"/>
      <c r="BP77" s="339"/>
      <c r="BQ77" s="339">
        <f t="shared" si="41"/>
        <v>0</v>
      </c>
      <c r="BS77" s="339"/>
      <c r="BT77" s="339"/>
      <c r="BU77" s="339"/>
      <c r="BV77" s="339"/>
      <c r="BW77" s="339"/>
      <c r="BX77" s="339">
        <f t="shared" si="42"/>
        <v>0</v>
      </c>
      <c r="BZ77" s="339"/>
      <c r="CA77" s="339"/>
      <c r="CB77" s="339"/>
      <c r="CC77" s="339"/>
      <c r="CD77" s="339"/>
      <c r="CE77" s="339">
        <f t="shared" si="43"/>
        <v>0</v>
      </c>
      <c r="CG77" s="339"/>
      <c r="CH77" s="339"/>
      <c r="CI77" s="339"/>
      <c r="CJ77" s="339"/>
      <c r="CK77" s="339"/>
      <c r="CL77" s="339">
        <f t="shared" si="44"/>
        <v>0</v>
      </c>
      <c r="CN77" s="339"/>
      <c r="CO77" s="339"/>
      <c r="CP77" s="339"/>
      <c r="CQ77" s="339"/>
      <c r="CR77" s="339"/>
      <c r="CS77" s="339">
        <f t="shared" si="45"/>
        <v>0</v>
      </c>
      <c r="CU77" s="339"/>
      <c r="CV77" s="339"/>
      <c r="CW77" s="339"/>
      <c r="CX77" s="339"/>
      <c r="CY77" s="339"/>
      <c r="CZ77" s="339">
        <f t="shared" si="46"/>
        <v>0</v>
      </c>
      <c r="DB77" s="339"/>
      <c r="DC77" s="339"/>
      <c r="DD77" s="339"/>
      <c r="DE77" s="339"/>
      <c r="DF77" s="339"/>
      <c r="DG77" s="339">
        <f t="shared" si="17"/>
        <v>0</v>
      </c>
      <c r="DI77" s="339"/>
      <c r="DJ77" s="339"/>
      <c r="DK77" s="339"/>
      <c r="DL77" s="339"/>
      <c r="DM77" s="339"/>
      <c r="DN77" s="339">
        <f t="shared" si="18"/>
        <v>0</v>
      </c>
    </row>
    <row r="78" spans="19:118">
      <c r="S78" s="412"/>
      <c r="T78" s="412"/>
      <c r="V78" s="339">
        <v>3.7</v>
      </c>
      <c r="W78" s="339">
        <v>2.65</v>
      </c>
      <c r="X78" s="339"/>
      <c r="Y78" s="339" t="s">
        <v>711</v>
      </c>
      <c r="Z78" s="339">
        <f>Q6</f>
        <v>7.7000000000000011</v>
      </c>
      <c r="AA78" s="339">
        <f t="shared" si="35"/>
        <v>2.1049999999999986</v>
      </c>
      <c r="AC78" s="339"/>
      <c r="AD78" s="339"/>
      <c r="AE78" s="339"/>
      <c r="AF78" s="339"/>
      <c r="AG78" s="339"/>
      <c r="AH78" s="339">
        <f t="shared" si="36"/>
        <v>0</v>
      </c>
      <c r="AJ78" s="339"/>
      <c r="AK78" s="339"/>
      <c r="AL78" s="339"/>
      <c r="AM78" s="339"/>
      <c r="AN78" s="339"/>
      <c r="AO78" s="339">
        <f t="shared" si="37"/>
        <v>0</v>
      </c>
      <c r="AQ78" s="339"/>
      <c r="AR78" s="339"/>
      <c r="AS78" s="339"/>
      <c r="AT78" s="339"/>
      <c r="AU78" s="339"/>
      <c r="AV78" s="339">
        <f t="shared" si="38"/>
        <v>0</v>
      </c>
      <c r="AX78" s="339"/>
      <c r="AY78" s="339"/>
      <c r="AZ78" s="339"/>
      <c r="BA78" s="339"/>
      <c r="BB78" s="339"/>
      <c r="BC78" s="339">
        <f t="shared" si="39"/>
        <v>0</v>
      </c>
      <c r="BE78" s="339"/>
      <c r="BF78" s="339"/>
      <c r="BG78" s="339"/>
      <c r="BH78" s="339"/>
      <c r="BI78" s="339"/>
      <c r="BJ78" s="339">
        <f t="shared" si="40"/>
        <v>0</v>
      </c>
      <c r="BL78" s="339"/>
      <c r="BM78" s="339"/>
      <c r="BN78" s="339"/>
      <c r="BO78" s="339"/>
      <c r="BP78" s="339"/>
      <c r="BQ78" s="339">
        <f t="shared" si="41"/>
        <v>0</v>
      </c>
      <c r="BS78" s="339"/>
      <c r="BT78" s="339"/>
      <c r="BU78" s="339"/>
      <c r="BV78" s="339"/>
      <c r="BW78" s="339"/>
      <c r="BX78" s="339">
        <f t="shared" si="42"/>
        <v>0</v>
      </c>
      <c r="BZ78" s="339"/>
      <c r="CA78" s="339"/>
      <c r="CB78" s="339"/>
      <c r="CC78" s="339"/>
      <c r="CD78" s="339"/>
      <c r="CE78" s="339">
        <f t="shared" si="43"/>
        <v>0</v>
      </c>
      <c r="CG78" s="339"/>
      <c r="CH78" s="339"/>
      <c r="CI78" s="339"/>
      <c r="CJ78" s="339"/>
      <c r="CK78" s="339"/>
      <c r="CL78" s="339">
        <f t="shared" si="44"/>
        <v>0</v>
      </c>
      <c r="CN78" s="339"/>
      <c r="CO78" s="339"/>
      <c r="CP78" s="339"/>
      <c r="CQ78" s="339"/>
      <c r="CR78" s="339"/>
      <c r="CS78" s="339">
        <f t="shared" si="45"/>
        <v>0</v>
      </c>
      <c r="CU78" s="339"/>
      <c r="CV78" s="339"/>
      <c r="CW78" s="339"/>
      <c r="CX78" s="339"/>
      <c r="CY78" s="339"/>
      <c r="CZ78" s="339">
        <f t="shared" si="46"/>
        <v>0</v>
      </c>
      <c r="DB78" s="339"/>
      <c r="DC78" s="339"/>
      <c r="DD78" s="339"/>
      <c r="DE78" s="339"/>
      <c r="DF78" s="339"/>
      <c r="DG78" s="339">
        <f t="shared" si="17"/>
        <v>0</v>
      </c>
      <c r="DI78" s="339"/>
      <c r="DJ78" s="339"/>
      <c r="DK78" s="339"/>
      <c r="DL78" s="339"/>
      <c r="DM78" s="339"/>
      <c r="DN78" s="339">
        <f t="shared" si="18"/>
        <v>0</v>
      </c>
    </row>
    <row r="79" spans="19:118">
      <c r="S79" s="412"/>
      <c r="T79" s="417"/>
      <c r="V79" s="339">
        <v>3.8</v>
      </c>
      <c r="W79" s="339">
        <v>2.65</v>
      </c>
      <c r="X79" s="339"/>
      <c r="Y79" s="339" t="s">
        <v>715</v>
      </c>
      <c r="Z79" s="339">
        <f>K16</f>
        <v>7.9799999999999995</v>
      </c>
      <c r="AA79" s="339">
        <f t="shared" si="35"/>
        <v>2.089999999999999</v>
      </c>
      <c r="AC79" s="339"/>
      <c r="AD79" s="339"/>
      <c r="AE79" s="339"/>
      <c r="AF79" s="339"/>
      <c r="AG79" s="339"/>
      <c r="AH79" s="339">
        <f t="shared" si="36"/>
        <v>0</v>
      </c>
      <c r="AJ79" s="339"/>
      <c r="AK79" s="339"/>
      <c r="AL79" s="339"/>
      <c r="AM79" s="339"/>
      <c r="AN79" s="339"/>
      <c r="AO79" s="339">
        <f t="shared" si="37"/>
        <v>0</v>
      </c>
      <c r="AQ79" s="339"/>
      <c r="AR79" s="339"/>
      <c r="AS79" s="339"/>
      <c r="AT79" s="339"/>
      <c r="AU79" s="339"/>
      <c r="AV79" s="339">
        <f t="shared" si="38"/>
        <v>0</v>
      </c>
      <c r="AX79" s="339"/>
      <c r="AY79" s="339"/>
      <c r="AZ79" s="339"/>
      <c r="BA79" s="339"/>
      <c r="BB79" s="339"/>
      <c r="BC79" s="339">
        <f t="shared" si="39"/>
        <v>0</v>
      </c>
      <c r="BE79" s="339"/>
      <c r="BF79" s="339"/>
      <c r="BG79" s="339"/>
      <c r="BH79" s="339"/>
      <c r="BI79" s="339"/>
      <c r="BJ79" s="339">
        <f t="shared" si="40"/>
        <v>0</v>
      </c>
      <c r="BL79" s="339"/>
      <c r="BM79" s="339"/>
      <c r="BN79" s="339"/>
      <c r="BO79" s="339"/>
      <c r="BP79" s="339"/>
      <c r="BQ79" s="339">
        <f t="shared" si="41"/>
        <v>0</v>
      </c>
      <c r="BS79" s="339"/>
      <c r="BT79" s="339"/>
      <c r="BU79" s="339"/>
      <c r="BV79" s="339"/>
      <c r="BW79" s="339"/>
      <c r="BX79" s="339">
        <f t="shared" si="42"/>
        <v>0</v>
      </c>
      <c r="BZ79" s="339"/>
      <c r="CA79" s="339"/>
      <c r="CB79" s="339"/>
      <c r="CC79" s="339"/>
      <c r="CD79" s="339"/>
      <c r="CE79" s="339">
        <f t="shared" si="43"/>
        <v>0</v>
      </c>
      <c r="CG79" s="339"/>
      <c r="CH79" s="339"/>
      <c r="CI79" s="339"/>
      <c r="CJ79" s="339"/>
      <c r="CK79" s="339"/>
      <c r="CL79" s="339">
        <f t="shared" si="44"/>
        <v>0</v>
      </c>
      <c r="CN79" s="339"/>
      <c r="CO79" s="339"/>
      <c r="CP79" s="339"/>
      <c r="CQ79" s="339"/>
      <c r="CR79" s="339"/>
      <c r="CS79" s="339">
        <f t="shared" si="45"/>
        <v>0</v>
      </c>
      <c r="CU79" s="339"/>
      <c r="CV79" s="339"/>
      <c r="CW79" s="339"/>
      <c r="CX79" s="339"/>
      <c r="CY79" s="339"/>
      <c r="CZ79" s="339">
        <f t="shared" si="46"/>
        <v>0</v>
      </c>
      <c r="DB79" s="339"/>
      <c r="DC79" s="339"/>
      <c r="DD79" s="339"/>
      <c r="DE79" s="339"/>
      <c r="DF79" s="339"/>
      <c r="DG79" s="339">
        <f t="shared" si="17"/>
        <v>0</v>
      </c>
      <c r="DI79" s="339"/>
      <c r="DJ79" s="339"/>
      <c r="DK79" s="339"/>
      <c r="DL79" s="339"/>
      <c r="DM79" s="339"/>
      <c r="DN79" s="339">
        <f t="shared" si="18"/>
        <v>0</v>
      </c>
    </row>
    <row r="80" spans="19:118">
      <c r="S80" s="412"/>
      <c r="T80" s="417"/>
      <c r="V80" s="339">
        <v>1.7</v>
      </c>
      <c r="W80" s="339">
        <v>0.95</v>
      </c>
      <c r="X80" s="339"/>
      <c r="Y80" s="339"/>
      <c r="Z80" s="339"/>
      <c r="AA80" s="339">
        <f t="shared" si="35"/>
        <v>1.615</v>
      </c>
      <c r="AC80" s="339"/>
      <c r="AD80" s="339"/>
      <c r="AE80" s="339"/>
      <c r="AF80" s="339"/>
      <c r="AG80" s="339"/>
      <c r="AH80" s="339">
        <f t="shared" si="36"/>
        <v>0</v>
      </c>
      <c r="AJ80" s="339"/>
      <c r="AK80" s="339"/>
      <c r="AL80" s="339"/>
      <c r="AM80" s="339"/>
      <c r="AN80" s="339"/>
      <c r="AO80" s="339">
        <f t="shared" si="37"/>
        <v>0</v>
      </c>
      <c r="AQ80" s="339"/>
      <c r="AR80" s="339"/>
      <c r="AS80" s="339"/>
      <c r="AT80" s="339"/>
      <c r="AU80" s="339"/>
      <c r="AV80" s="339">
        <f t="shared" si="38"/>
        <v>0</v>
      </c>
      <c r="AX80" s="339"/>
      <c r="AY80" s="339"/>
      <c r="AZ80" s="339"/>
      <c r="BA80" s="339"/>
      <c r="BB80" s="339"/>
      <c r="BC80" s="339">
        <f t="shared" si="39"/>
        <v>0</v>
      </c>
      <c r="BE80" s="339"/>
      <c r="BF80" s="339"/>
      <c r="BG80" s="339"/>
      <c r="BH80" s="339"/>
      <c r="BI80" s="339"/>
      <c r="BJ80" s="339">
        <f t="shared" si="40"/>
        <v>0</v>
      </c>
      <c r="BL80" s="339"/>
      <c r="BM80" s="339"/>
      <c r="BN80" s="339"/>
      <c r="BO80" s="339"/>
      <c r="BP80" s="339"/>
      <c r="BQ80" s="339">
        <f t="shared" si="41"/>
        <v>0</v>
      </c>
      <c r="BS80" s="339"/>
      <c r="BT80" s="339"/>
      <c r="BU80" s="339"/>
      <c r="BV80" s="339"/>
      <c r="BW80" s="339"/>
      <c r="BX80" s="339">
        <f t="shared" si="42"/>
        <v>0</v>
      </c>
      <c r="BZ80" s="339"/>
      <c r="CA80" s="339"/>
      <c r="CB80" s="339"/>
      <c r="CC80" s="339"/>
      <c r="CD80" s="339"/>
      <c r="CE80" s="339">
        <f t="shared" si="43"/>
        <v>0</v>
      </c>
      <c r="CG80" s="339"/>
      <c r="CH80" s="339"/>
      <c r="CI80" s="339"/>
      <c r="CJ80" s="339"/>
      <c r="CK80" s="339"/>
      <c r="CL80" s="339">
        <f t="shared" si="44"/>
        <v>0</v>
      </c>
      <c r="CN80" s="339"/>
      <c r="CO80" s="339"/>
      <c r="CP80" s="339"/>
      <c r="CQ80" s="339"/>
      <c r="CR80" s="339"/>
      <c r="CS80" s="339">
        <f t="shared" si="45"/>
        <v>0</v>
      </c>
      <c r="CU80" s="339"/>
      <c r="CV80" s="339"/>
      <c r="CW80" s="339"/>
      <c r="CX80" s="339"/>
      <c r="CY80" s="339"/>
      <c r="CZ80" s="339">
        <f t="shared" si="46"/>
        <v>0</v>
      </c>
      <c r="DB80" s="339"/>
      <c r="DC80" s="339"/>
      <c r="DD80" s="339"/>
      <c r="DE80" s="339"/>
      <c r="DF80" s="339"/>
      <c r="DG80" s="339">
        <f t="shared" si="17"/>
        <v>0</v>
      </c>
      <c r="DI80" s="339"/>
      <c r="DJ80" s="339"/>
      <c r="DK80" s="339"/>
      <c r="DL80" s="339"/>
      <c r="DM80" s="339"/>
      <c r="DN80" s="339">
        <f t="shared" si="18"/>
        <v>0</v>
      </c>
    </row>
    <row r="81" spans="19:118">
      <c r="S81" s="412"/>
      <c r="T81" s="417"/>
      <c r="V81" s="339">
        <v>1.7</v>
      </c>
      <c r="W81" s="339">
        <v>0.95</v>
      </c>
      <c r="X81" s="339"/>
      <c r="Y81" s="339"/>
      <c r="Z81" s="339"/>
      <c r="AA81" s="339">
        <f t="shared" si="35"/>
        <v>1.615</v>
      </c>
      <c r="AC81" s="339"/>
      <c r="AD81" s="339"/>
      <c r="AE81" s="339"/>
      <c r="AF81" s="339"/>
      <c r="AG81" s="339"/>
      <c r="AH81" s="339">
        <f t="shared" si="36"/>
        <v>0</v>
      </c>
      <c r="AJ81" s="339"/>
      <c r="AK81" s="339"/>
      <c r="AL81" s="339"/>
      <c r="AM81" s="339"/>
      <c r="AN81" s="339"/>
      <c r="AO81" s="339">
        <f t="shared" si="37"/>
        <v>0</v>
      </c>
      <c r="AQ81" s="339"/>
      <c r="AR81" s="339"/>
      <c r="AS81" s="339"/>
      <c r="AT81" s="339"/>
      <c r="AU81" s="339"/>
      <c r="AV81" s="339">
        <f t="shared" si="38"/>
        <v>0</v>
      </c>
      <c r="AX81" s="339"/>
      <c r="AY81" s="339"/>
      <c r="AZ81" s="339"/>
      <c r="BA81" s="339"/>
      <c r="BB81" s="339"/>
      <c r="BC81" s="339">
        <f t="shared" si="39"/>
        <v>0</v>
      </c>
      <c r="BE81" s="339"/>
      <c r="BF81" s="339"/>
      <c r="BG81" s="339"/>
      <c r="BH81" s="339"/>
      <c r="BI81" s="339"/>
      <c r="BJ81" s="339">
        <f t="shared" si="40"/>
        <v>0</v>
      </c>
      <c r="BL81" s="339"/>
      <c r="BM81" s="339"/>
      <c r="BN81" s="339"/>
      <c r="BO81" s="339"/>
      <c r="BP81" s="339"/>
      <c r="BQ81" s="339">
        <f t="shared" si="41"/>
        <v>0</v>
      </c>
      <c r="BS81" s="339"/>
      <c r="BT81" s="339"/>
      <c r="BU81" s="339"/>
      <c r="BV81" s="339"/>
      <c r="BW81" s="339"/>
      <c r="BX81" s="339">
        <f t="shared" si="42"/>
        <v>0</v>
      </c>
      <c r="BZ81" s="339"/>
      <c r="CA81" s="339"/>
      <c r="CB81" s="339"/>
      <c r="CC81" s="339"/>
      <c r="CD81" s="339"/>
      <c r="CE81" s="339">
        <f t="shared" si="43"/>
        <v>0</v>
      </c>
      <c r="CG81" s="339"/>
      <c r="CH81" s="339"/>
      <c r="CI81" s="339"/>
      <c r="CJ81" s="339"/>
      <c r="CK81" s="339"/>
      <c r="CL81" s="339">
        <f t="shared" si="44"/>
        <v>0</v>
      </c>
      <c r="CN81" s="339"/>
      <c r="CO81" s="339"/>
      <c r="CP81" s="339"/>
      <c r="CQ81" s="339"/>
      <c r="CR81" s="339"/>
      <c r="CS81" s="339">
        <f t="shared" si="45"/>
        <v>0</v>
      </c>
      <c r="CU81" s="339"/>
      <c r="CV81" s="339"/>
      <c r="CW81" s="339"/>
      <c r="CX81" s="339"/>
      <c r="CY81" s="339"/>
      <c r="CZ81" s="339">
        <f t="shared" si="46"/>
        <v>0</v>
      </c>
      <c r="DB81" s="339"/>
      <c r="DC81" s="339"/>
      <c r="DD81" s="339"/>
      <c r="DE81" s="339"/>
      <c r="DF81" s="339"/>
      <c r="DG81" s="339">
        <f t="shared" si="17"/>
        <v>0</v>
      </c>
      <c r="DI81" s="339"/>
      <c r="DJ81" s="339"/>
      <c r="DK81" s="339"/>
      <c r="DL81" s="339"/>
      <c r="DM81" s="339"/>
      <c r="DN81" s="339">
        <f t="shared" si="18"/>
        <v>0</v>
      </c>
    </row>
    <row r="82" spans="19:118">
      <c r="S82" s="417"/>
      <c r="T82" s="417"/>
      <c r="V82" s="339">
        <v>1.75</v>
      </c>
      <c r="W82" s="339">
        <v>1</v>
      </c>
      <c r="X82" s="339"/>
      <c r="Y82" s="339"/>
      <c r="Z82" s="339"/>
      <c r="AA82" s="339">
        <f t="shared" si="35"/>
        <v>1.75</v>
      </c>
      <c r="AC82" s="339"/>
      <c r="AD82" s="339"/>
      <c r="AE82" s="339"/>
      <c r="AF82" s="339"/>
      <c r="AG82" s="339"/>
      <c r="AH82" s="339">
        <f t="shared" si="36"/>
        <v>0</v>
      </c>
      <c r="AJ82" s="339"/>
      <c r="AK82" s="339"/>
      <c r="AL82" s="339"/>
      <c r="AM82" s="339"/>
      <c r="AN82" s="339"/>
      <c r="AO82" s="339">
        <f t="shared" si="37"/>
        <v>0</v>
      </c>
      <c r="AQ82" s="339"/>
      <c r="AR82" s="339"/>
      <c r="AS82" s="339"/>
      <c r="AT82" s="339"/>
      <c r="AU82" s="339"/>
      <c r="AV82" s="339">
        <f t="shared" si="38"/>
        <v>0</v>
      </c>
      <c r="AX82" s="339"/>
      <c r="AY82" s="339"/>
      <c r="AZ82" s="339"/>
      <c r="BA82" s="339"/>
      <c r="BB82" s="339"/>
      <c r="BC82" s="339">
        <f t="shared" si="39"/>
        <v>0</v>
      </c>
      <c r="BE82" s="339"/>
      <c r="BF82" s="339"/>
      <c r="BG82" s="339"/>
      <c r="BH82" s="339"/>
      <c r="BI82" s="339"/>
      <c r="BJ82" s="339">
        <f t="shared" si="40"/>
        <v>0</v>
      </c>
      <c r="BL82" s="339"/>
      <c r="BM82" s="339"/>
      <c r="BN82" s="339"/>
      <c r="BO82" s="339"/>
      <c r="BP82" s="339"/>
      <c r="BQ82" s="339">
        <f t="shared" si="41"/>
        <v>0</v>
      </c>
      <c r="BS82" s="339"/>
      <c r="BT82" s="339"/>
      <c r="BU82" s="339"/>
      <c r="BV82" s="339"/>
      <c r="BW82" s="339"/>
      <c r="BX82" s="339">
        <f t="shared" si="42"/>
        <v>0</v>
      </c>
      <c r="BZ82" s="339"/>
      <c r="CA82" s="339"/>
      <c r="CB82" s="339"/>
      <c r="CC82" s="339"/>
      <c r="CD82" s="339"/>
      <c r="CE82" s="339">
        <f t="shared" si="43"/>
        <v>0</v>
      </c>
      <c r="CG82" s="339"/>
      <c r="CH82" s="339"/>
      <c r="CI82" s="339"/>
      <c r="CJ82" s="339"/>
      <c r="CK82" s="339"/>
      <c r="CL82" s="339">
        <f t="shared" si="44"/>
        <v>0</v>
      </c>
      <c r="CN82" s="339"/>
      <c r="CO82" s="339"/>
      <c r="CP82" s="339"/>
      <c r="CQ82" s="339"/>
      <c r="CR82" s="339"/>
      <c r="CS82" s="339">
        <f t="shared" si="45"/>
        <v>0</v>
      </c>
      <c r="CU82" s="339"/>
      <c r="CV82" s="339"/>
      <c r="CW82" s="339"/>
      <c r="CX82" s="339"/>
      <c r="CY82" s="339"/>
      <c r="CZ82" s="339">
        <f t="shared" si="46"/>
        <v>0</v>
      </c>
      <c r="DB82" s="339"/>
      <c r="DC82" s="339"/>
      <c r="DD82" s="339"/>
      <c r="DE82" s="339"/>
      <c r="DF82" s="339"/>
      <c r="DG82" s="339">
        <f t="shared" si="17"/>
        <v>0</v>
      </c>
      <c r="DI82" s="339"/>
      <c r="DJ82" s="339"/>
      <c r="DK82" s="339"/>
      <c r="DL82" s="339"/>
      <c r="DM82" s="339"/>
      <c r="DN82" s="339">
        <f t="shared" si="18"/>
        <v>0</v>
      </c>
    </row>
    <row r="83" spans="19:118">
      <c r="S83" s="417"/>
      <c r="T83" s="417"/>
      <c r="V83" s="339">
        <v>1.75</v>
      </c>
      <c r="W83" s="339">
        <v>1</v>
      </c>
      <c r="X83" s="339"/>
      <c r="Y83" s="339"/>
      <c r="Z83" s="339"/>
      <c r="AA83" s="339">
        <f t="shared" si="35"/>
        <v>1.75</v>
      </c>
      <c r="AC83" s="339"/>
      <c r="AD83" s="339"/>
      <c r="AE83" s="339"/>
      <c r="AF83" s="339"/>
      <c r="AG83" s="339"/>
      <c r="AH83" s="339">
        <f t="shared" si="36"/>
        <v>0</v>
      </c>
      <c r="AJ83" s="339"/>
      <c r="AK83" s="339"/>
      <c r="AL83" s="339"/>
      <c r="AM83" s="339"/>
      <c r="AN83" s="339"/>
      <c r="AO83" s="339">
        <f t="shared" si="37"/>
        <v>0</v>
      </c>
      <c r="AQ83" s="339"/>
      <c r="AR83" s="339"/>
      <c r="AS83" s="339"/>
      <c r="AT83" s="339"/>
      <c r="AU83" s="339"/>
      <c r="AV83" s="339">
        <f t="shared" si="38"/>
        <v>0</v>
      </c>
      <c r="AX83" s="339"/>
      <c r="AY83" s="339"/>
      <c r="AZ83" s="339"/>
      <c r="BA83" s="339"/>
      <c r="BB83" s="339"/>
      <c r="BC83" s="339">
        <f t="shared" si="39"/>
        <v>0</v>
      </c>
      <c r="BE83" s="339"/>
      <c r="BF83" s="339"/>
      <c r="BG83" s="339"/>
      <c r="BH83" s="339"/>
      <c r="BI83" s="339"/>
      <c r="BJ83" s="339">
        <f t="shared" si="40"/>
        <v>0</v>
      </c>
      <c r="BL83" s="339"/>
      <c r="BM83" s="339"/>
      <c r="BN83" s="339"/>
      <c r="BO83" s="339"/>
      <c r="BP83" s="339"/>
      <c r="BQ83" s="339">
        <f t="shared" si="41"/>
        <v>0</v>
      </c>
      <c r="BS83" s="339"/>
      <c r="BT83" s="339"/>
      <c r="BU83" s="339"/>
      <c r="BV83" s="339"/>
      <c r="BW83" s="339"/>
      <c r="BX83" s="339">
        <f t="shared" si="42"/>
        <v>0</v>
      </c>
      <c r="BZ83" s="339"/>
      <c r="CA83" s="339"/>
      <c r="CB83" s="339"/>
      <c r="CC83" s="339"/>
      <c r="CD83" s="339"/>
      <c r="CE83" s="339">
        <f t="shared" si="43"/>
        <v>0</v>
      </c>
      <c r="CG83" s="339"/>
      <c r="CH83" s="339"/>
      <c r="CI83" s="339"/>
      <c r="CJ83" s="339"/>
      <c r="CK83" s="339"/>
      <c r="CL83" s="339">
        <f t="shared" si="44"/>
        <v>0</v>
      </c>
      <c r="CN83" s="339"/>
      <c r="CO83" s="339"/>
      <c r="CP83" s="339"/>
      <c r="CQ83" s="339"/>
      <c r="CR83" s="339"/>
      <c r="CS83" s="339">
        <f t="shared" si="45"/>
        <v>0</v>
      </c>
      <c r="CU83" s="339"/>
      <c r="CV83" s="339"/>
      <c r="CW83" s="339"/>
      <c r="CX83" s="339"/>
      <c r="CY83" s="339"/>
      <c r="CZ83" s="339">
        <f t="shared" si="46"/>
        <v>0</v>
      </c>
      <c r="DB83" s="339"/>
      <c r="DC83" s="339"/>
      <c r="DD83" s="339"/>
      <c r="DE83" s="339"/>
      <c r="DF83" s="339"/>
      <c r="DG83" s="339">
        <f t="shared" si="17"/>
        <v>0</v>
      </c>
      <c r="DI83" s="339"/>
      <c r="DJ83" s="339"/>
      <c r="DK83" s="339"/>
      <c r="DL83" s="339"/>
      <c r="DM83" s="339"/>
      <c r="DN83" s="339">
        <f t="shared" si="18"/>
        <v>0</v>
      </c>
    </row>
    <row r="84" spans="19:118">
      <c r="S84" s="417"/>
      <c r="T84" s="417"/>
      <c r="V84" s="339">
        <v>10.35</v>
      </c>
      <c r="W84" s="339">
        <v>1</v>
      </c>
      <c r="X84" s="339"/>
      <c r="Y84" s="339"/>
      <c r="Z84" s="339"/>
      <c r="AA84" s="339">
        <f t="shared" si="35"/>
        <v>10.35</v>
      </c>
      <c r="AC84" s="339"/>
      <c r="AD84" s="339"/>
      <c r="AE84" s="339"/>
      <c r="AF84" s="339"/>
      <c r="AG84" s="339"/>
      <c r="AH84" s="339">
        <f t="shared" si="36"/>
        <v>0</v>
      </c>
      <c r="AJ84" s="339"/>
      <c r="AK84" s="339"/>
      <c r="AL84" s="339"/>
      <c r="AM84" s="339"/>
      <c r="AN84" s="339"/>
      <c r="AO84" s="339">
        <f t="shared" si="37"/>
        <v>0</v>
      </c>
      <c r="AQ84" s="339"/>
      <c r="AR84" s="339"/>
      <c r="AS84" s="339"/>
      <c r="AT84" s="339"/>
      <c r="AU84" s="339"/>
      <c r="AV84" s="339">
        <f t="shared" si="38"/>
        <v>0</v>
      </c>
      <c r="AX84" s="339"/>
      <c r="AY84" s="339"/>
      <c r="AZ84" s="339"/>
      <c r="BA84" s="339"/>
      <c r="BB84" s="339"/>
      <c r="BC84" s="339">
        <f t="shared" si="39"/>
        <v>0</v>
      </c>
      <c r="BE84" s="339"/>
      <c r="BF84" s="339"/>
      <c r="BG84" s="339"/>
      <c r="BH84" s="339"/>
      <c r="BI84" s="339"/>
      <c r="BJ84" s="339">
        <f t="shared" si="40"/>
        <v>0</v>
      </c>
      <c r="BL84" s="339"/>
      <c r="BM84" s="339"/>
      <c r="BN84" s="339"/>
      <c r="BO84" s="339"/>
      <c r="BP84" s="339"/>
      <c r="BQ84" s="339">
        <f t="shared" si="41"/>
        <v>0</v>
      </c>
      <c r="BS84" s="339"/>
      <c r="BT84" s="339"/>
      <c r="BU84" s="339"/>
      <c r="BV84" s="339"/>
      <c r="BW84" s="339"/>
      <c r="BX84" s="339">
        <f t="shared" si="42"/>
        <v>0</v>
      </c>
      <c r="BZ84" s="339"/>
      <c r="CA84" s="339"/>
      <c r="CB84" s="339"/>
      <c r="CC84" s="339"/>
      <c r="CD84" s="339"/>
      <c r="CE84" s="339">
        <f t="shared" si="43"/>
        <v>0</v>
      </c>
      <c r="CG84" s="339"/>
      <c r="CH84" s="339"/>
      <c r="CI84" s="339"/>
      <c r="CJ84" s="339"/>
      <c r="CK84" s="339"/>
      <c r="CL84" s="339">
        <f t="shared" si="44"/>
        <v>0</v>
      </c>
      <c r="CN84" s="339"/>
      <c r="CO84" s="339"/>
      <c r="CP84" s="339"/>
      <c r="CQ84" s="339"/>
      <c r="CR84" s="339"/>
      <c r="CS84" s="339">
        <f t="shared" si="45"/>
        <v>0</v>
      </c>
      <c r="CU84" s="339"/>
      <c r="CV84" s="339"/>
      <c r="CW84" s="339"/>
      <c r="CX84" s="339"/>
      <c r="CY84" s="339"/>
      <c r="CZ84" s="339">
        <f t="shared" si="46"/>
        <v>0</v>
      </c>
      <c r="DB84" s="339"/>
      <c r="DC84" s="339"/>
      <c r="DD84" s="339"/>
      <c r="DE84" s="339"/>
      <c r="DF84" s="339"/>
      <c r="DG84" s="339">
        <f t="shared" si="17"/>
        <v>0</v>
      </c>
      <c r="DI84" s="339"/>
      <c r="DJ84" s="339"/>
      <c r="DK84" s="339"/>
      <c r="DL84" s="339"/>
      <c r="DM84" s="339"/>
      <c r="DN84" s="339">
        <f t="shared" si="18"/>
        <v>0</v>
      </c>
    </row>
    <row r="85" spans="19:118">
      <c r="S85" s="412"/>
      <c r="T85" s="412"/>
      <c r="V85" s="339">
        <v>3.7</v>
      </c>
      <c r="W85" s="339">
        <v>1</v>
      </c>
      <c r="X85" s="339"/>
      <c r="Y85" s="339"/>
      <c r="Z85" s="339"/>
      <c r="AA85" s="339">
        <f t="shared" si="35"/>
        <v>3.7</v>
      </c>
      <c r="AC85" s="339"/>
      <c r="AD85" s="339"/>
      <c r="AE85" s="339"/>
      <c r="AF85" s="339"/>
      <c r="AG85" s="339"/>
      <c r="AH85" s="339">
        <f t="shared" si="36"/>
        <v>0</v>
      </c>
      <c r="AJ85" s="339"/>
      <c r="AK85" s="339"/>
      <c r="AL85" s="339"/>
      <c r="AM85" s="339"/>
      <c r="AN85" s="339"/>
      <c r="AO85" s="339">
        <f t="shared" si="37"/>
        <v>0</v>
      </c>
      <c r="AQ85" s="339"/>
      <c r="AR85" s="339"/>
      <c r="AS85" s="339"/>
      <c r="AT85" s="339"/>
      <c r="AU85" s="339"/>
      <c r="AV85" s="339">
        <f t="shared" si="38"/>
        <v>0</v>
      </c>
      <c r="AX85" s="339"/>
      <c r="AY85" s="339"/>
      <c r="AZ85" s="339"/>
      <c r="BA85" s="339"/>
      <c r="BB85" s="339"/>
      <c r="BC85" s="339">
        <f t="shared" si="39"/>
        <v>0</v>
      </c>
      <c r="BE85" s="339"/>
      <c r="BF85" s="339"/>
      <c r="BG85" s="339"/>
      <c r="BH85" s="339"/>
      <c r="BI85" s="339"/>
      <c r="BJ85" s="339">
        <f t="shared" si="40"/>
        <v>0</v>
      </c>
      <c r="BL85" s="339"/>
      <c r="BM85" s="339"/>
      <c r="BN85" s="339"/>
      <c r="BO85" s="339"/>
      <c r="BP85" s="339"/>
      <c r="BQ85" s="339">
        <f t="shared" si="41"/>
        <v>0</v>
      </c>
      <c r="BS85" s="339"/>
      <c r="BT85" s="339"/>
      <c r="BU85" s="339"/>
      <c r="BV85" s="339"/>
      <c r="BW85" s="339"/>
      <c r="BX85" s="339">
        <f t="shared" si="42"/>
        <v>0</v>
      </c>
      <c r="BZ85" s="339"/>
      <c r="CA85" s="339"/>
      <c r="CB85" s="339"/>
      <c r="CC85" s="339"/>
      <c r="CD85" s="339"/>
      <c r="CE85" s="339">
        <f t="shared" si="43"/>
        <v>0</v>
      </c>
      <c r="CG85" s="339"/>
      <c r="CH85" s="339"/>
      <c r="CI85" s="339"/>
      <c r="CJ85" s="339"/>
      <c r="CK85" s="339"/>
      <c r="CL85" s="339">
        <f t="shared" si="44"/>
        <v>0</v>
      </c>
      <c r="CN85" s="339"/>
      <c r="CO85" s="339"/>
      <c r="CP85" s="339"/>
      <c r="CQ85" s="339"/>
      <c r="CR85" s="339"/>
      <c r="CS85" s="339">
        <f t="shared" si="45"/>
        <v>0</v>
      </c>
      <c r="CU85" s="339"/>
      <c r="CV85" s="339"/>
      <c r="CW85" s="339"/>
      <c r="CX85" s="339"/>
      <c r="CY85" s="339"/>
      <c r="CZ85" s="339">
        <f t="shared" si="46"/>
        <v>0</v>
      </c>
      <c r="DB85" s="339"/>
      <c r="DC85" s="339"/>
      <c r="DD85" s="339"/>
      <c r="DE85" s="339"/>
      <c r="DF85" s="339"/>
      <c r="DG85" s="339">
        <f t="shared" si="17"/>
        <v>0</v>
      </c>
      <c r="DI85" s="339"/>
      <c r="DJ85" s="339"/>
      <c r="DK85" s="339"/>
      <c r="DL85" s="339"/>
      <c r="DM85" s="339"/>
      <c r="DN85" s="339">
        <f t="shared" si="18"/>
        <v>0</v>
      </c>
    </row>
    <row r="86" spans="19:118">
      <c r="S86" s="412"/>
      <c r="T86" s="412"/>
      <c r="V86" s="339">
        <v>3.7</v>
      </c>
      <c r="W86" s="339">
        <v>1</v>
      </c>
      <c r="X86" s="339"/>
      <c r="Y86" s="339"/>
      <c r="Z86" s="339"/>
      <c r="AA86" s="339">
        <f t="shared" si="35"/>
        <v>3.7</v>
      </c>
      <c r="AC86" s="339"/>
      <c r="AD86" s="339"/>
      <c r="AE86" s="339"/>
      <c r="AF86" s="339"/>
      <c r="AG86" s="339"/>
      <c r="AH86" s="339">
        <f t="shared" si="36"/>
        <v>0</v>
      </c>
      <c r="AJ86" s="339"/>
      <c r="AK86" s="339"/>
      <c r="AL86" s="339"/>
      <c r="AM86" s="339"/>
      <c r="AN86" s="339"/>
      <c r="AO86" s="339">
        <f t="shared" si="37"/>
        <v>0</v>
      </c>
      <c r="AQ86" s="339"/>
      <c r="AR86" s="339"/>
      <c r="AS86" s="339"/>
      <c r="AT86" s="339"/>
      <c r="AU86" s="339"/>
      <c r="AV86" s="339">
        <f t="shared" si="38"/>
        <v>0</v>
      </c>
      <c r="AX86" s="339"/>
      <c r="AY86" s="339"/>
      <c r="AZ86" s="339"/>
      <c r="BA86" s="339"/>
      <c r="BB86" s="339"/>
      <c r="BC86" s="339">
        <f t="shared" si="39"/>
        <v>0</v>
      </c>
      <c r="BE86" s="339"/>
      <c r="BF86" s="339"/>
      <c r="BG86" s="339"/>
      <c r="BH86" s="339"/>
      <c r="BI86" s="339"/>
      <c r="BJ86" s="339">
        <f t="shared" si="40"/>
        <v>0</v>
      </c>
      <c r="BL86" s="339"/>
      <c r="BM86" s="339"/>
      <c r="BN86" s="339"/>
      <c r="BO86" s="339"/>
      <c r="BP86" s="339"/>
      <c r="BQ86" s="339">
        <f t="shared" si="41"/>
        <v>0</v>
      </c>
      <c r="BS86" s="339"/>
      <c r="BT86" s="339"/>
      <c r="BU86" s="339"/>
      <c r="BV86" s="339"/>
      <c r="BW86" s="339"/>
      <c r="BX86" s="339">
        <f t="shared" si="42"/>
        <v>0</v>
      </c>
      <c r="BZ86" s="339"/>
      <c r="CA86" s="339"/>
      <c r="CB86" s="339"/>
      <c r="CC86" s="339"/>
      <c r="CD86" s="339"/>
      <c r="CE86" s="339">
        <f t="shared" si="43"/>
        <v>0</v>
      </c>
      <c r="CG86" s="339"/>
      <c r="CH86" s="339"/>
      <c r="CI86" s="339"/>
      <c r="CJ86" s="339"/>
      <c r="CK86" s="339"/>
      <c r="CL86" s="339">
        <f t="shared" si="44"/>
        <v>0</v>
      </c>
      <c r="CN86" s="339"/>
      <c r="CO86" s="339"/>
      <c r="CP86" s="339"/>
      <c r="CQ86" s="339"/>
      <c r="CR86" s="339"/>
      <c r="CS86" s="339">
        <f t="shared" si="45"/>
        <v>0</v>
      </c>
      <c r="CU86" s="339"/>
      <c r="CV86" s="339"/>
      <c r="CW86" s="339"/>
      <c r="CX86" s="339"/>
      <c r="CY86" s="339"/>
      <c r="CZ86" s="339">
        <f t="shared" si="46"/>
        <v>0</v>
      </c>
      <c r="DB86" s="339"/>
      <c r="DC86" s="339"/>
      <c r="DD86" s="339"/>
      <c r="DE86" s="339"/>
      <c r="DF86" s="339"/>
      <c r="DG86" s="339">
        <f t="shared" si="17"/>
        <v>0</v>
      </c>
      <c r="DI86" s="339"/>
      <c r="DJ86" s="339"/>
      <c r="DK86" s="339"/>
      <c r="DL86" s="339"/>
      <c r="DM86" s="339"/>
      <c r="DN86" s="339">
        <f t="shared" si="18"/>
        <v>0</v>
      </c>
    </row>
    <row r="87" spans="19:118">
      <c r="S87" s="412"/>
      <c r="T87" s="412"/>
      <c r="V87" s="339">
        <v>14.7</v>
      </c>
      <c r="W87" s="339">
        <v>1</v>
      </c>
      <c r="X87" s="339"/>
      <c r="Y87" s="339"/>
      <c r="Z87" s="339"/>
      <c r="AA87" s="339">
        <f t="shared" si="35"/>
        <v>14.7</v>
      </c>
      <c r="AC87" s="339"/>
      <c r="AD87" s="339"/>
      <c r="AE87" s="339"/>
      <c r="AF87" s="339"/>
      <c r="AG87" s="339"/>
      <c r="AH87" s="339">
        <f t="shared" si="36"/>
        <v>0</v>
      </c>
      <c r="AJ87" s="339"/>
      <c r="AK87" s="339"/>
      <c r="AL87" s="339"/>
      <c r="AM87" s="339"/>
      <c r="AN87" s="339"/>
      <c r="AO87" s="339">
        <f t="shared" si="37"/>
        <v>0</v>
      </c>
      <c r="AQ87" s="339"/>
      <c r="AR87" s="339"/>
      <c r="AS87" s="339"/>
      <c r="AT87" s="339"/>
      <c r="AU87" s="339"/>
      <c r="AV87" s="339">
        <f t="shared" si="38"/>
        <v>0</v>
      </c>
      <c r="AX87" s="339"/>
      <c r="AY87" s="339"/>
      <c r="AZ87" s="339"/>
      <c r="BA87" s="339"/>
      <c r="BB87" s="339"/>
      <c r="BC87" s="339">
        <f t="shared" si="39"/>
        <v>0</v>
      </c>
      <c r="BE87" s="339"/>
      <c r="BF87" s="339"/>
      <c r="BG87" s="339"/>
      <c r="BH87" s="339"/>
      <c r="BI87" s="339"/>
      <c r="BJ87" s="339">
        <f t="shared" si="40"/>
        <v>0</v>
      </c>
      <c r="BL87" s="339"/>
      <c r="BM87" s="339"/>
      <c r="BN87" s="339"/>
      <c r="BO87" s="339"/>
      <c r="BP87" s="339"/>
      <c r="BQ87" s="339">
        <f t="shared" si="41"/>
        <v>0</v>
      </c>
      <c r="BS87" s="339"/>
      <c r="BT87" s="339"/>
      <c r="BU87" s="339"/>
      <c r="BV87" s="339"/>
      <c r="BW87" s="339"/>
      <c r="BX87" s="339">
        <f t="shared" si="42"/>
        <v>0</v>
      </c>
      <c r="BZ87" s="339"/>
      <c r="CA87" s="339"/>
      <c r="CB87" s="339"/>
      <c r="CC87" s="339"/>
      <c r="CD87" s="339"/>
      <c r="CE87" s="339">
        <f t="shared" si="43"/>
        <v>0</v>
      </c>
      <c r="CG87" s="339"/>
      <c r="CH87" s="339"/>
      <c r="CI87" s="339"/>
      <c r="CJ87" s="339"/>
      <c r="CK87" s="339"/>
      <c r="CL87" s="339">
        <f t="shared" si="44"/>
        <v>0</v>
      </c>
      <c r="CN87" s="339"/>
      <c r="CO87" s="339"/>
      <c r="CP87" s="339"/>
      <c r="CQ87" s="339"/>
      <c r="CR87" s="339"/>
      <c r="CS87" s="339">
        <f t="shared" si="45"/>
        <v>0</v>
      </c>
      <c r="CU87" s="339"/>
      <c r="CV87" s="339"/>
      <c r="CW87" s="339"/>
      <c r="CX87" s="339"/>
      <c r="CY87" s="339"/>
      <c r="CZ87" s="339">
        <f t="shared" si="46"/>
        <v>0</v>
      </c>
      <c r="DB87" s="339"/>
      <c r="DC87" s="339"/>
      <c r="DD87" s="339"/>
      <c r="DE87" s="339"/>
      <c r="DF87" s="339"/>
      <c r="DG87" s="339">
        <f t="shared" si="17"/>
        <v>0</v>
      </c>
      <c r="DI87" s="339"/>
      <c r="DJ87" s="339"/>
      <c r="DK87" s="339"/>
      <c r="DL87" s="339"/>
      <c r="DM87" s="339"/>
      <c r="DN87" s="339">
        <f t="shared" si="18"/>
        <v>0</v>
      </c>
    </row>
    <row r="88" spans="19:118">
      <c r="S88" s="412"/>
      <c r="T88" s="412"/>
      <c r="V88" s="339"/>
      <c r="W88" s="339"/>
      <c r="X88" s="339"/>
      <c r="Y88" s="339"/>
      <c r="Z88" s="339"/>
      <c r="AA88" s="339">
        <f t="shared" si="22"/>
        <v>0</v>
      </c>
      <c r="AC88" s="339"/>
      <c r="AD88" s="339"/>
      <c r="AE88" s="339"/>
      <c r="AF88" s="339"/>
      <c r="AG88" s="339"/>
      <c r="AH88" s="339">
        <f t="shared" si="6"/>
        <v>0</v>
      </c>
      <c r="AJ88" s="339"/>
      <c r="AK88" s="339"/>
      <c r="AL88" s="339"/>
      <c r="AM88" s="339"/>
      <c r="AN88" s="339"/>
      <c r="AO88" s="339">
        <f t="shared" si="7"/>
        <v>0</v>
      </c>
      <c r="AQ88" s="339"/>
      <c r="AR88" s="339"/>
      <c r="AS88" s="339"/>
      <c r="AT88" s="339"/>
      <c r="AU88" s="339"/>
      <c r="AV88" s="339">
        <f t="shared" si="8"/>
        <v>0</v>
      </c>
      <c r="AX88" s="339"/>
      <c r="AY88" s="339"/>
      <c r="AZ88" s="339"/>
      <c r="BA88" s="339"/>
      <c r="BB88" s="339"/>
      <c r="BC88" s="339">
        <f t="shared" si="9"/>
        <v>0</v>
      </c>
      <c r="BE88" s="339"/>
      <c r="BF88" s="339"/>
      <c r="BG88" s="339"/>
      <c r="BH88" s="339"/>
      <c r="BI88" s="339"/>
      <c r="BJ88" s="339">
        <f t="shared" si="10"/>
        <v>0</v>
      </c>
      <c r="BL88" s="339"/>
      <c r="BM88" s="339"/>
      <c r="BN88" s="339"/>
      <c r="BO88" s="339"/>
      <c r="BP88" s="339"/>
      <c r="BQ88" s="339">
        <f t="shared" si="11"/>
        <v>0</v>
      </c>
      <c r="BS88" s="339"/>
      <c r="BT88" s="339"/>
      <c r="BU88" s="339"/>
      <c r="BV88" s="339"/>
      <c r="BW88" s="339"/>
      <c r="BX88" s="339">
        <f t="shared" si="12"/>
        <v>0</v>
      </c>
      <c r="BZ88" s="339"/>
      <c r="CA88" s="339"/>
      <c r="CB88" s="339"/>
      <c r="CC88" s="339"/>
      <c r="CD88" s="339"/>
      <c r="CE88" s="339">
        <f t="shared" si="13"/>
        <v>0</v>
      </c>
      <c r="CG88" s="339"/>
      <c r="CH88" s="339"/>
      <c r="CI88" s="339"/>
      <c r="CJ88" s="339"/>
      <c r="CK88" s="339"/>
      <c r="CL88" s="339">
        <f t="shared" si="14"/>
        <v>0</v>
      </c>
      <c r="CN88" s="339"/>
      <c r="CO88" s="339"/>
      <c r="CP88" s="339"/>
      <c r="CQ88" s="339"/>
      <c r="CR88" s="339"/>
      <c r="CS88" s="339">
        <f t="shared" si="15"/>
        <v>0</v>
      </c>
      <c r="CU88" s="339"/>
      <c r="CV88" s="339"/>
      <c r="CW88" s="339"/>
      <c r="CX88" s="339"/>
      <c r="CY88" s="339"/>
      <c r="CZ88" s="339">
        <f t="shared" si="16"/>
        <v>0</v>
      </c>
      <c r="DB88" s="339"/>
      <c r="DC88" s="339"/>
      <c r="DD88" s="339"/>
      <c r="DE88" s="339"/>
      <c r="DF88" s="339"/>
      <c r="DG88" s="339">
        <f t="shared" si="17"/>
        <v>0</v>
      </c>
      <c r="DI88" s="339"/>
      <c r="DJ88" s="339"/>
      <c r="DK88" s="339"/>
      <c r="DL88" s="339"/>
      <c r="DM88" s="339"/>
      <c r="DN88" s="339">
        <f t="shared" si="18"/>
        <v>0</v>
      </c>
    </row>
    <row r="89" spans="19:118">
      <c r="S89" s="412"/>
      <c r="T89" s="412"/>
      <c r="V89" s="339"/>
      <c r="W89" s="339"/>
      <c r="X89" s="339"/>
      <c r="Y89" s="339"/>
      <c r="Z89" s="339"/>
      <c r="AA89" s="339">
        <f t="shared" si="22"/>
        <v>0</v>
      </c>
      <c r="AC89" s="339"/>
      <c r="AD89" s="339"/>
      <c r="AE89" s="339"/>
      <c r="AF89" s="339"/>
      <c r="AG89" s="339"/>
      <c r="AH89" s="339">
        <f t="shared" si="6"/>
        <v>0</v>
      </c>
      <c r="AJ89" s="339"/>
      <c r="AK89" s="339"/>
      <c r="AL89" s="339"/>
      <c r="AM89" s="339"/>
      <c r="AN89" s="339"/>
      <c r="AO89" s="339">
        <f t="shared" si="7"/>
        <v>0</v>
      </c>
      <c r="AQ89" s="339"/>
      <c r="AR89" s="339"/>
      <c r="AS89" s="339"/>
      <c r="AT89" s="339"/>
      <c r="AU89" s="339"/>
      <c r="AV89" s="339">
        <f t="shared" si="8"/>
        <v>0</v>
      </c>
      <c r="AX89" s="339"/>
      <c r="AY89" s="339"/>
      <c r="AZ89" s="339"/>
      <c r="BA89" s="339"/>
      <c r="BB89" s="339"/>
      <c r="BC89" s="339">
        <f t="shared" si="9"/>
        <v>0</v>
      </c>
      <c r="BE89" s="339"/>
      <c r="BF89" s="339"/>
      <c r="BG89" s="339"/>
      <c r="BH89" s="339"/>
      <c r="BI89" s="339"/>
      <c r="BJ89" s="339">
        <f t="shared" si="10"/>
        <v>0</v>
      </c>
      <c r="BL89" s="339"/>
      <c r="BM89" s="339"/>
      <c r="BN89" s="339"/>
      <c r="BO89" s="339"/>
      <c r="BP89" s="339"/>
      <c r="BQ89" s="339">
        <f t="shared" si="11"/>
        <v>0</v>
      </c>
      <c r="BS89" s="339"/>
      <c r="BT89" s="339"/>
      <c r="BU89" s="339"/>
      <c r="BV89" s="339"/>
      <c r="BW89" s="339"/>
      <c r="BX89" s="339">
        <f t="shared" si="12"/>
        <v>0</v>
      </c>
      <c r="BZ89" s="339"/>
      <c r="CA89" s="339"/>
      <c r="CB89" s="339"/>
      <c r="CC89" s="339"/>
      <c r="CD89" s="339"/>
      <c r="CE89" s="339">
        <f t="shared" si="13"/>
        <v>0</v>
      </c>
      <c r="CG89" s="339"/>
      <c r="CH89" s="339"/>
      <c r="CI89" s="339"/>
      <c r="CJ89" s="339"/>
      <c r="CK89" s="339"/>
      <c r="CL89" s="339">
        <f t="shared" si="14"/>
        <v>0</v>
      </c>
      <c r="CN89" s="339"/>
      <c r="CO89" s="339"/>
      <c r="CP89" s="339"/>
      <c r="CQ89" s="339"/>
      <c r="CR89" s="339"/>
      <c r="CS89" s="339">
        <f t="shared" si="15"/>
        <v>0</v>
      </c>
      <c r="CU89" s="339"/>
      <c r="CV89" s="339"/>
      <c r="CW89" s="339"/>
      <c r="CX89" s="339"/>
      <c r="CY89" s="339"/>
      <c r="CZ89" s="339">
        <f t="shared" si="16"/>
        <v>0</v>
      </c>
      <c r="DB89" s="339"/>
      <c r="DC89" s="339"/>
      <c r="DD89" s="339"/>
      <c r="DE89" s="339"/>
      <c r="DF89" s="339"/>
      <c r="DG89" s="339">
        <f t="shared" si="17"/>
        <v>0</v>
      </c>
      <c r="DI89" s="339"/>
      <c r="DJ89" s="339"/>
      <c r="DK89" s="339"/>
      <c r="DL89" s="339"/>
      <c r="DM89" s="339"/>
      <c r="DN89" s="339">
        <f t="shared" si="18"/>
        <v>0</v>
      </c>
    </row>
    <row r="90" spans="19:118">
      <c r="S90" s="412"/>
      <c r="T90" s="412"/>
      <c r="V90" s="339"/>
      <c r="W90" s="339"/>
      <c r="X90" s="339"/>
      <c r="Y90" s="339"/>
      <c r="Z90" s="339"/>
      <c r="AA90" s="339">
        <f t="shared" si="22"/>
        <v>0</v>
      </c>
      <c r="AC90" s="339"/>
      <c r="AD90" s="339"/>
      <c r="AE90" s="339"/>
      <c r="AF90" s="339"/>
      <c r="AG90" s="339"/>
      <c r="AH90" s="339">
        <f t="shared" si="6"/>
        <v>0</v>
      </c>
      <c r="AJ90" s="339"/>
      <c r="AK90" s="339"/>
      <c r="AL90" s="339"/>
      <c r="AM90" s="339"/>
      <c r="AN90" s="339"/>
      <c r="AO90" s="339">
        <f t="shared" si="7"/>
        <v>0</v>
      </c>
      <c r="AQ90" s="339"/>
      <c r="AR90" s="339"/>
      <c r="AS90" s="339"/>
      <c r="AT90" s="339"/>
      <c r="AU90" s="339"/>
      <c r="AV90" s="339">
        <f t="shared" si="8"/>
        <v>0</v>
      </c>
      <c r="AX90" s="339"/>
      <c r="AY90" s="339"/>
      <c r="AZ90" s="339"/>
      <c r="BA90" s="339"/>
      <c r="BB90" s="339"/>
      <c r="BC90" s="339">
        <f t="shared" si="9"/>
        <v>0</v>
      </c>
      <c r="BE90" s="339"/>
      <c r="BF90" s="339"/>
      <c r="BG90" s="339"/>
      <c r="BH90" s="339"/>
      <c r="BI90" s="339"/>
      <c r="BJ90" s="339">
        <f t="shared" si="10"/>
        <v>0</v>
      </c>
      <c r="BL90" s="339"/>
      <c r="BM90" s="339"/>
      <c r="BN90" s="339"/>
      <c r="BO90" s="339"/>
      <c r="BP90" s="339"/>
      <c r="BQ90" s="339">
        <f t="shared" si="11"/>
        <v>0</v>
      </c>
      <c r="BS90" s="339"/>
      <c r="BT90" s="339"/>
      <c r="BU90" s="339"/>
      <c r="BV90" s="339"/>
      <c r="BW90" s="339"/>
      <c r="BX90" s="339">
        <f t="shared" si="12"/>
        <v>0</v>
      </c>
      <c r="BZ90" s="339"/>
      <c r="CA90" s="339"/>
      <c r="CB90" s="339"/>
      <c r="CC90" s="339"/>
      <c r="CD90" s="339"/>
      <c r="CE90" s="339">
        <f t="shared" si="13"/>
        <v>0</v>
      </c>
      <c r="CG90" s="339"/>
      <c r="CH90" s="339"/>
      <c r="CI90" s="339"/>
      <c r="CJ90" s="339"/>
      <c r="CK90" s="339"/>
      <c r="CL90" s="339">
        <f t="shared" si="14"/>
        <v>0</v>
      </c>
      <c r="CN90" s="339"/>
      <c r="CO90" s="339"/>
      <c r="CP90" s="339"/>
      <c r="CQ90" s="339"/>
      <c r="CR90" s="339"/>
      <c r="CS90" s="339">
        <f t="shared" si="15"/>
        <v>0</v>
      </c>
      <c r="CU90" s="339"/>
      <c r="CV90" s="339"/>
      <c r="CW90" s="339"/>
      <c r="CX90" s="339"/>
      <c r="CY90" s="339"/>
      <c r="CZ90" s="339">
        <f t="shared" si="16"/>
        <v>0</v>
      </c>
      <c r="DB90" s="339"/>
      <c r="DC90" s="339"/>
      <c r="DD90" s="339"/>
      <c r="DE90" s="339"/>
      <c r="DF90" s="339"/>
      <c r="DG90" s="339">
        <f t="shared" si="17"/>
        <v>0</v>
      </c>
      <c r="DI90" s="339"/>
      <c r="DJ90" s="339"/>
      <c r="DK90" s="339"/>
      <c r="DL90" s="339"/>
      <c r="DM90" s="339"/>
      <c r="DN90" s="339">
        <f t="shared" si="18"/>
        <v>0</v>
      </c>
    </row>
    <row r="91" spans="19:118">
      <c r="S91" s="412"/>
      <c r="T91" s="417"/>
      <c r="V91" s="339"/>
      <c r="W91" s="339"/>
      <c r="X91" s="339"/>
      <c r="Y91" s="339"/>
      <c r="Z91" s="339"/>
      <c r="AA91" s="339">
        <f t="shared" si="22"/>
        <v>0</v>
      </c>
      <c r="AC91" s="339"/>
      <c r="AD91" s="339"/>
      <c r="AE91" s="339"/>
      <c r="AF91" s="339"/>
      <c r="AG91" s="339"/>
      <c r="AH91" s="339">
        <f t="shared" si="6"/>
        <v>0</v>
      </c>
      <c r="AJ91" s="339"/>
      <c r="AK91" s="339"/>
      <c r="AL91" s="339"/>
      <c r="AM91" s="339"/>
      <c r="AN91" s="339"/>
      <c r="AO91" s="339">
        <f t="shared" si="7"/>
        <v>0</v>
      </c>
      <c r="AQ91" s="339"/>
      <c r="AR91" s="339"/>
      <c r="AS91" s="339"/>
      <c r="AT91" s="339"/>
      <c r="AU91" s="339"/>
      <c r="AV91" s="339">
        <f t="shared" si="8"/>
        <v>0</v>
      </c>
      <c r="AX91" s="339"/>
      <c r="AY91" s="339"/>
      <c r="AZ91" s="339"/>
      <c r="BA91" s="339"/>
      <c r="BB91" s="339"/>
      <c r="BC91" s="339">
        <f t="shared" si="9"/>
        <v>0</v>
      </c>
      <c r="BE91" s="339"/>
      <c r="BF91" s="339"/>
      <c r="BG91" s="339"/>
      <c r="BH91" s="339"/>
      <c r="BI91" s="339"/>
      <c r="BJ91" s="339">
        <f t="shared" si="10"/>
        <v>0</v>
      </c>
      <c r="BL91" s="339"/>
      <c r="BM91" s="339"/>
      <c r="BN91" s="339"/>
      <c r="BO91" s="339"/>
      <c r="BP91" s="339"/>
      <c r="BQ91" s="339">
        <f t="shared" si="11"/>
        <v>0</v>
      </c>
      <c r="BS91" s="339"/>
      <c r="BT91" s="339"/>
      <c r="BU91" s="339"/>
      <c r="BV91" s="339"/>
      <c r="BW91" s="339"/>
      <c r="BX91" s="339">
        <f t="shared" si="12"/>
        <v>0</v>
      </c>
      <c r="BZ91" s="339"/>
      <c r="CA91" s="339"/>
      <c r="CB91" s="339"/>
      <c r="CC91" s="339"/>
      <c r="CD91" s="339"/>
      <c r="CE91" s="339">
        <f t="shared" si="13"/>
        <v>0</v>
      </c>
      <c r="CG91" s="339"/>
      <c r="CH91" s="339"/>
      <c r="CI91" s="339"/>
      <c r="CJ91" s="339"/>
      <c r="CK91" s="339"/>
      <c r="CL91" s="339">
        <f t="shared" si="14"/>
        <v>0</v>
      </c>
      <c r="CN91" s="339"/>
      <c r="CO91" s="339"/>
      <c r="CP91" s="339"/>
      <c r="CQ91" s="339"/>
      <c r="CR91" s="339"/>
      <c r="CS91" s="339">
        <f t="shared" si="15"/>
        <v>0</v>
      </c>
      <c r="CU91" s="339"/>
      <c r="CV91" s="339"/>
      <c r="CW91" s="339"/>
      <c r="CX91" s="339"/>
      <c r="CY91" s="339"/>
      <c r="CZ91" s="339">
        <f t="shared" si="16"/>
        <v>0</v>
      </c>
      <c r="DB91" s="339"/>
      <c r="DC91" s="339"/>
      <c r="DD91" s="339"/>
      <c r="DE91" s="339"/>
      <c r="DF91" s="339"/>
      <c r="DG91" s="339">
        <f t="shared" si="17"/>
        <v>0</v>
      </c>
      <c r="DI91" s="339"/>
      <c r="DJ91" s="339"/>
      <c r="DK91" s="339"/>
      <c r="DL91" s="339"/>
      <c r="DM91" s="339"/>
      <c r="DN91" s="339">
        <f t="shared" si="18"/>
        <v>0</v>
      </c>
    </row>
    <row r="92" spans="19:118">
      <c r="S92" s="412"/>
      <c r="T92" s="417"/>
      <c r="V92" s="339"/>
      <c r="W92" s="339"/>
      <c r="X92" s="339"/>
      <c r="Y92" s="339"/>
      <c r="Z92" s="339"/>
      <c r="AA92" s="339">
        <f t="shared" si="22"/>
        <v>0</v>
      </c>
      <c r="AC92" s="339"/>
      <c r="AD92" s="339"/>
      <c r="AE92" s="339"/>
      <c r="AF92" s="339"/>
      <c r="AG92" s="339"/>
      <c r="AH92" s="339">
        <f t="shared" si="6"/>
        <v>0</v>
      </c>
      <c r="AJ92" s="339"/>
      <c r="AK92" s="339"/>
      <c r="AL92" s="339"/>
      <c r="AM92" s="339"/>
      <c r="AN92" s="339"/>
      <c r="AO92" s="339">
        <f t="shared" si="7"/>
        <v>0</v>
      </c>
      <c r="AQ92" s="339"/>
      <c r="AR92" s="339"/>
      <c r="AS92" s="339"/>
      <c r="AT92" s="339"/>
      <c r="AU92" s="339"/>
      <c r="AV92" s="339">
        <f t="shared" si="8"/>
        <v>0</v>
      </c>
      <c r="AX92" s="339"/>
      <c r="AY92" s="339"/>
      <c r="AZ92" s="339"/>
      <c r="BA92" s="339"/>
      <c r="BB92" s="339"/>
      <c r="BC92" s="339">
        <f t="shared" si="9"/>
        <v>0</v>
      </c>
      <c r="BE92" s="339"/>
      <c r="BF92" s="339"/>
      <c r="BG92" s="339"/>
      <c r="BH92" s="339"/>
      <c r="BI92" s="339"/>
      <c r="BJ92" s="339">
        <f t="shared" si="10"/>
        <v>0</v>
      </c>
      <c r="BL92" s="339"/>
      <c r="BM92" s="339"/>
      <c r="BN92" s="339"/>
      <c r="BO92" s="339"/>
      <c r="BP92" s="339"/>
      <c r="BQ92" s="339">
        <f t="shared" si="11"/>
        <v>0</v>
      </c>
      <c r="BS92" s="339"/>
      <c r="BT92" s="339"/>
      <c r="BU92" s="339"/>
      <c r="BV92" s="339"/>
      <c r="BW92" s="339"/>
      <c r="BX92" s="339">
        <f t="shared" si="12"/>
        <v>0</v>
      </c>
      <c r="BZ92" s="339"/>
      <c r="CA92" s="339"/>
      <c r="CB92" s="339"/>
      <c r="CC92" s="339"/>
      <c r="CD92" s="339"/>
      <c r="CE92" s="339">
        <f t="shared" si="13"/>
        <v>0</v>
      </c>
      <c r="CG92" s="339"/>
      <c r="CH92" s="339"/>
      <c r="CI92" s="339"/>
      <c r="CJ92" s="339"/>
      <c r="CK92" s="339"/>
      <c r="CL92" s="339">
        <f t="shared" si="14"/>
        <v>0</v>
      </c>
      <c r="CN92" s="339"/>
      <c r="CO92" s="339"/>
      <c r="CP92" s="339"/>
      <c r="CQ92" s="339"/>
      <c r="CR92" s="339"/>
      <c r="CS92" s="339">
        <f t="shared" si="15"/>
        <v>0</v>
      </c>
      <c r="CU92" s="339"/>
      <c r="CV92" s="339"/>
      <c r="CW92" s="339"/>
      <c r="CX92" s="339"/>
      <c r="CY92" s="339"/>
      <c r="CZ92" s="339">
        <f t="shared" si="16"/>
        <v>0</v>
      </c>
      <c r="DB92" s="339"/>
      <c r="DC92" s="339"/>
      <c r="DD92" s="339"/>
      <c r="DE92" s="339"/>
      <c r="DF92" s="339"/>
      <c r="DG92" s="339">
        <f t="shared" si="17"/>
        <v>0</v>
      </c>
      <c r="DI92" s="339"/>
      <c r="DJ92" s="339"/>
      <c r="DK92" s="339"/>
      <c r="DL92" s="339"/>
      <c r="DM92" s="339"/>
      <c r="DN92" s="339">
        <f t="shared" si="18"/>
        <v>0</v>
      </c>
    </row>
    <row r="93" spans="19:118">
      <c r="S93" s="412"/>
      <c r="T93" s="417"/>
      <c r="V93" s="339"/>
      <c r="W93" s="339"/>
      <c r="X93" s="339"/>
      <c r="Y93" s="339"/>
      <c r="Z93" s="339"/>
      <c r="AA93" s="339">
        <f t="shared" si="22"/>
        <v>0</v>
      </c>
      <c r="AC93" s="339"/>
      <c r="AD93" s="339"/>
      <c r="AE93" s="339"/>
      <c r="AF93" s="339"/>
      <c r="AG93" s="339"/>
      <c r="AH93" s="339">
        <f t="shared" si="6"/>
        <v>0</v>
      </c>
      <c r="AJ93" s="339"/>
      <c r="AK93" s="339"/>
      <c r="AL93" s="339"/>
      <c r="AM93" s="339"/>
      <c r="AN93" s="339"/>
      <c r="AO93" s="339">
        <f t="shared" si="7"/>
        <v>0</v>
      </c>
      <c r="AQ93" s="339"/>
      <c r="AR93" s="339"/>
      <c r="AS93" s="339"/>
      <c r="AT93" s="339"/>
      <c r="AU93" s="339"/>
      <c r="AV93" s="339">
        <f t="shared" si="8"/>
        <v>0</v>
      </c>
      <c r="AX93" s="339"/>
      <c r="AY93" s="339"/>
      <c r="AZ93" s="339"/>
      <c r="BA93" s="339"/>
      <c r="BB93" s="339"/>
      <c r="BC93" s="339">
        <f t="shared" si="9"/>
        <v>0</v>
      </c>
      <c r="BE93" s="339"/>
      <c r="BF93" s="339"/>
      <c r="BG93" s="339"/>
      <c r="BH93" s="339"/>
      <c r="BI93" s="339"/>
      <c r="BJ93" s="339">
        <f t="shared" si="10"/>
        <v>0</v>
      </c>
      <c r="BL93" s="339"/>
      <c r="BM93" s="339"/>
      <c r="BN93" s="339"/>
      <c r="BO93" s="339"/>
      <c r="BP93" s="339"/>
      <c r="BQ93" s="339">
        <f t="shared" si="11"/>
        <v>0</v>
      </c>
      <c r="BS93" s="339"/>
      <c r="BT93" s="339"/>
      <c r="BU93" s="339"/>
      <c r="BV93" s="339"/>
      <c r="BW93" s="339"/>
      <c r="BX93" s="339">
        <f t="shared" si="12"/>
        <v>0</v>
      </c>
      <c r="BZ93" s="339"/>
      <c r="CA93" s="339"/>
      <c r="CB93" s="339"/>
      <c r="CC93" s="339"/>
      <c r="CD93" s="339"/>
      <c r="CE93" s="339">
        <f t="shared" si="13"/>
        <v>0</v>
      </c>
      <c r="CG93" s="339"/>
      <c r="CH93" s="339"/>
      <c r="CI93" s="339"/>
      <c r="CJ93" s="339"/>
      <c r="CK93" s="339"/>
      <c r="CL93" s="339">
        <f t="shared" si="14"/>
        <v>0</v>
      </c>
      <c r="CN93" s="339"/>
      <c r="CO93" s="339"/>
      <c r="CP93" s="339"/>
      <c r="CQ93" s="339"/>
      <c r="CR93" s="339"/>
      <c r="CS93" s="339">
        <f t="shared" si="15"/>
        <v>0</v>
      </c>
      <c r="CU93" s="339"/>
      <c r="CV93" s="339"/>
      <c r="CW93" s="339"/>
      <c r="CX93" s="339"/>
      <c r="CY93" s="339"/>
      <c r="CZ93" s="339">
        <f t="shared" si="16"/>
        <v>0</v>
      </c>
      <c r="DB93" s="339"/>
      <c r="DC93" s="339"/>
      <c r="DD93" s="339"/>
      <c r="DE93" s="339"/>
      <c r="DF93" s="339"/>
      <c r="DG93" s="339">
        <f t="shared" si="17"/>
        <v>0</v>
      </c>
      <c r="DI93" s="339"/>
      <c r="DJ93" s="339"/>
      <c r="DK93" s="339"/>
      <c r="DL93" s="339"/>
      <c r="DM93" s="339"/>
      <c r="DN93" s="339">
        <f t="shared" si="18"/>
        <v>0</v>
      </c>
    </row>
    <row r="94" spans="19:118">
      <c r="S94" s="417"/>
      <c r="T94" s="417"/>
      <c r="V94" s="339"/>
      <c r="W94" s="339"/>
      <c r="X94" s="339"/>
      <c r="Y94" s="339"/>
      <c r="Z94" s="339"/>
      <c r="AA94" s="339">
        <f t="shared" si="22"/>
        <v>0</v>
      </c>
      <c r="AC94" s="339"/>
      <c r="AD94" s="339"/>
      <c r="AE94" s="339"/>
      <c r="AF94" s="339"/>
      <c r="AG94" s="339"/>
      <c r="AH94" s="339">
        <f t="shared" si="6"/>
        <v>0</v>
      </c>
      <c r="AJ94" s="339"/>
      <c r="AK94" s="339"/>
      <c r="AL94" s="339"/>
      <c r="AM94" s="339"/>
      <c r="AN94" s="339"/>
      <c r="AO94" s="339">
        <f t="shared" si="7"/>
        <v>0</v>
      </c>
      <c r="AQ94" s="339"/>
      <c r="AR94" s="339"/>
      <c r="AS94" s="339"/>
      <c r="AT94" s="339"/>
      <c r="AU94" s="339"/>
      <c r="AV94" s="339">
        <f t="shared" si="8"/>
        <v>0</v>
      </c>
      <c r="AX94" s="339"/>
      <c r="AY94" s="339"/>
      <c r="AZ94" s="339"/>
      <c r="BA94" s="339"/>
      <c r="BB94" s="339"/>
      <c r="BC94" s="339">
        <f t="shared" si="9"/>
        <v>0</v>
      </c>
      <c r="BE94" s="339"/>
      <c r="BF94" s="339"/>
      <c r="BG94" s="339"/>
      <c r="BH94" s="339"/>
      <c r="BI94" s="339"/>
      <c r="BJ94" s="339">
        <f t="shared" si="10"/>
        <v>0</v>
      </c>
      <c r="BL94" s="339"/>
      <c r="BM94" s="339"/>
      <c r="BN94" s="339"/>
      <c r="BO94" s="339"/>
      <c r="BP94" s="339"/>
      <c r="BQ94" s="339">
        <f t="shared" si="11"/>
        <v>0</v>
      </c>
      <c r="BS94" s="339"/>
      <c r="BT94" s="339"/>
      <c r="BU94" s="339"/>
      <c r="BV94" s="339"/>
      <c r="BW94" s="339"/>
      <c r="BX94" s="339">
        <f t="shared" si="12"/>
        <v>0</v>
      </c>
      <c r="BZ94" s="339"/>
      <c r="CA94" s="339"/>
      <c r="CB94" s="339"/>
      <c r="CC94" s="339"/>
      <c r="CD94" s="339"/>
      <c r="CE94" s="339">
        <f t="shared" si="13"/>
        <v>0</v>
      </c>
      <c r="CG94" s="339"/>
      <c r="CH94" s="339"/>
      <c r="CI94" s="339"/>
      <c r="CJ94" s="339"/>
      <c r="CK94" s="339"/>
      <c r="CL94" s="339">
        <f t="shared" si="14"/>
        <v>0</v>
      </c>
      <c r="CN94" s="339"/>
      <c r="CO94" s="339"/>
      <c r="CP94" s="339"/>
      <c r="CQ94" s="339"/>
      <c r="CR94" s="339"/>
      <c r="CS94" s="339">
        <f t="shared" si="15"/>
        <v>0</v>
      </c>
      <c r="CU94" s="339"/>
      <c r="CV94" s="339"/>
      <c r="CW94" s="339"/>
      <c r="CX94" s="339"/>
      <c r="CY94" s="339"/>
      <c r="CZ94" s="339">
        <f t="shared" si="16"/>
        <v>0</v>
      </c>
      <c r="DB94" s="339"/>
      <c r="DC94" s="339"/>
      <c r="DD94" s="339"/>
      <c r="DE94" s="339"/>
      <c r="DF94" s="339"/>
      <c r="DG94" s="339">
        <f t="shared" si="17"/>
        <v>0</v>
      </c>
      <c r="DI94" s="339"/>
      <c r="DJ94" s="339"/>
      <c r="DK94" s="339"/>
      <c r="DL94" s="339"/>
      <c r="DM94" s="339"/>
      <c r="DN94" s="339">
        <f t="shared" si="18"/>
        <v>0</v>
      </c>
    </row>
    <row r="95" spans="19:118">
      <c r="S95" s="417"/>
      <c r="T95" s="417"/>
      <c r="V95" s="339"/>
      <c r="W95" s="339"/>
      <c r="X95" s="339"/>
      <c r="Y95" s="339"/>
      <c r="Z95" s="339"/>
      <c r="AA95" s="339">
        <f t="shared" si="22"/>
        <v>0</v>
      </c>
      <c r="AC95" s="339"/>
      <c r="AD95" s="339"/>
      <c r="AE95" s="339"/>
      <c r="AF95" s="339"/>
      <c r="AG95" s="339"/>
      <c r="AH95" s="339">
        <f t="shared" si="6"/>
        <v>0</v>
      </c>
      <c r="AJ95" s="339"/>
      <c r="AK95" s="339"/>
      <c r="AL95" s="339"/>
      <c r="AM95" s="339"/>
      <c r="AN95" s="339"/>
      <c r="AO95" s="339">
        <f t="shared" si="7"/>
        <v>0</v>
      </c>
      <c r="AQ95" s="339"/>
      <c r="AR95" s="339"/>
      <c r="AS95" s="339"/>
      <c r="AT95" s="339"/>
      <c r="AU95" s="339"/>
      <c r="AV95" s="339">
        <f t="shared" si="8"/>
        <v>0</v>
      </c>
      <c r="AX95" s="339"/>
      <c r="AY95" s="339"/>
      <c r="AZ95" s="339"/>
      <c r="BA95" s="339"/>
      <c r="BB95" s="339"/>
      <c r="BC95" s="339">
        <f t="shared" si="9"/>
        <v>0</v>
      </c>
      <c r="BE95" s="339"/>
      <c r="BF95" s="339"/>
      <c r="BG95" s="339"/>
      <c r="BH95" s="339"/>
      <c r="BI95" s="339"/>
      <c r="BJ95" s="339">
        <f t="shared" si="10"/>
        <v>0</v>
      </c>
      <c r="BL95" s="339"/>
      <c r="BM95" s="339"/>
      <c r="BN95" s="339"/>
      <c r="BO95" s="339"/>
      <c r="BP95" s="339"/>
      <c r="BQ95" s="339">
        <f t="shared" si="11"/>
        <v>0</v>
      </c>
      <c r="BS95" s="339"/>
      <c r="BT95" s="339"/>
      <c r="BU95" s="339"/>
      <c r="BV95" s="339"/>
      <c r="BW95" s="339"/>
      <c r="BX95" s="339">
        <f t="shared" si="12"/>
        <v>0</v>
      </c>
      <c r="BZ95" s="339"/>
      <c r="CA95" s="339"/>
      <c r="CB95" s="339"/>
      <c r="CC95" s="339"/>
      <c r="CD95" s="339"/>
      <c r="CE95" s="339">
        <f t="shared" si="13"/>
        <v>0</v>
      </c>
      <c r="CG95" s="339"/>
      <c r="CH95" s="339"/>
      <c r="CI95" s="339"/>
      <c r="CJ95" s="339"/>
      <c r="CK95" s="339"/>
      <c r="CL95" s="339">
        <f t="shared" si="14"/>
        <v>0</v>
      </c>
      <c r="CN95" s="339"/>
      <c r="CO95" s="339"/>
      <c r="CP95" s="339"/>
      <c r="CQ95" s="339"/>
      <c r="CR95" s="339"/>
      <c r="CS95" s="339">
        <f t="shared" si="15"/>
        <v>0</v>
      </c>
      <c r="CU95" s="339"/>
      <c r="CV95" s="339"/>
      <c r="CW95" s="339"/>
      <c r="CX95" s="339"/>
      <c r="CY95" s="339"/>
      <c r="CZ95" s="339">
        <f t="shared" si="16"/>
        <v>0</v>
      </c>
      <c r="DB95" s="339"/>
      <c r="DC95" s="339"/>
      <c r="DD95" s="339"/>
      <c r="DE95" s="339"/>
      <c r="DF95" s="339"/>
      <c r="DG95" s="339">
        <f t="shared" si="17"/>
        <v>0</v>
      </c>
      <c r="DI95" s="339"/>
      <c r="DJ95" s="339"/>
      <c r="DK95" s="339"/>
      <c r="DL95" s="339"/>
      <c r="DM95" s="339"/>
      <c r="DN95" s="339">
        <f t="shared" si="18"/>
        <v>0</v>
      </c>
    </row>
    <row r="96" spans="19:118">
      <c r="S96" s="417"/>
      <c r="T96" s="417"/>
      <c r="V96" s="339"/>
      <c r="W96" s="339"/>
      <c r="X96" s="339"/>
      <c r="Y96" s="339"/>
      <c r="Z96" s="339"/>
      <c r="AA96" s="339">
        <f t="shared" si="22"/>
        <v>0</v>
      </c>
      <c r="AC96" s="339"/>
      <c r="AD96" s="339"/>
      <c r="AE96" s="339"/>
      <c r="AF96" s="339"/>
      <c r="AG96" s="339"/>
      <c r="AH96" s="339">
        <f t="shared" si="6"/>
        <v>0</v>
      </c>
      <c r="AJ96" s="339"/>
      <c r="AK96" s="339"/>
      <c r="AL96" s="339"/>
      <c r="AM96" s="339"/>
      <c r="AN96" s="339"/>
      <c r="AO96" s="339">
        <f t="shared" si="7"/>
        <v>0</v>
      </c>
      <c r="AQ96" s="339"/>
      <c r="AR96" s="339"/>
      <c r="AS96" s="339"/>
      <c r="AT96" s="339"/>
      <c r="AU96" s="339"/>
      <c r="AV96" s="339">
        <f t="shared" si="8"/>
        <v>0</v>
      </c>
      <c r="AX96" s="339"/>
      <c r="AY96" s="339"/>
      <c r="AZ96" s="339"/>
      <c r="BA96" s="339"/>
      <c r="BB96" s="339"/>
      <c r="BC96" s="339">
        <f t="shared" si="9"/>
        <v>0</v>
      </c>
      <c r="BE96" s="339"/>
      <c r="BF96" s="339"/>
      <c r="BG96" s="339"/>
      <c r="BH96" s="339"/>
      <c r="BI96" s="339"/>
      <c r="BJ96" s="339">
        <f t="shared" si="10"/>
        <v>0</v>
      </c>
      <c r="BL96" s="339"/>
      <c r="BM96" s="339"/>
      <c r="BN96" s="339"/>
      <c r="BO96" s="339"/>
      <c r="BP96" s="339"/>
      <c r="BQ96" s="339">
        <f t="shared" si="11"/>
        <v>0</v>
      </c>
      <c r="BS96" s="339"/>
      <c r="BT96" s="339"/>
      <c r="BU96" s="339"/>
      <c r="BV96" s="339"/>
      <c r="BW96" s="339"/>
      <c r="BX96" s="339">
        <f t="shared" si="12"/>
        <v>0</v>
      </c>
      <c r="BZ96" s="339"/>
      <c r="CA96" s="339"/>
      <c r="CB96" s="339"/>
      <c r="CC96" s="339"/>
      <c r="CD96" s="339"/>
      <c r="CE96" s="339">
        <f t="shared" si="13"/>
        <v>0</v>
      </c>
      <c r="CG96" s="339"/>
      <c r="CH96" s="339"/>
      <c r="CI96" s="339"/>
      <c r="CJ96" s="339"/>
      <c r="CK96" s="339"/>
      <c r="CL96" s="339">
        <f t="shared" si="14"/>
        <v>0</v>
      </c>
      <c r="CN96" s="339"/>
      <c r="CO96" s="339"/>
      <c r="CP96" s="339"/>
      <c r="CQ96" s="339"/>
      <c r="CR96" s="339"/>
      <c r="CS96" s="339">
        <f t="shared" si="15"/>
        <v>0</v>
      </c>
      <c r="CU96" s="339"/>
      <c r="CV96" s="339"/>
      <c r="CW96" s="339"/>
      <c r="CX96" s="339"/>
      <c r="CY96" s="339"/>
      <c r="CZ96" s="339">
        <f t="shared" si="16"/>
        <v>0</v>
      </c>
      <c r="DB96" s="339"/>
      <c r="DC96" s="339"/>
      <c r="DD96" s="339"/>
      <c r="DE96" s="339"/>
      <c r="DF96" s="339"/>
      <c r="DG96" s="339">
        <f t="shared" si="17"/>
        <v>0</v>
      </c>
      <c r="DI96" s="339"/>
      <c r="DJ96" s="339"/>
      <c r="DK96" s="339"/>
      <c r="DL96" s="339"/>
      <c r="DM96" s="339"/>
      <c r="DN96" s="339">
        <f t="shared" si="18"/>
        <v>0</v>
      </c>
    </row>
    <row r="97" spans="1:118">
      <c r="S97" s="412"/>
      <c r="T97" s="412"/>
      <c r="V97" s="339"/>
      <c r="W97" s="339"/>
      <c r="X97" s="339"/>
      <c r="Y97" s="339"/>
      <c r="Z97" s="339"/>
      <c r="AA97" s="339">
        <f t="shared" si="5"/>
        <v>0</v>
      </c>
      <c r="AC97" s="339"/>
      <c r="AD97" s="339"/>
      <c r="AE97" s="339"/>
      <c r="AF97" s="339"/>
      <c r="AG97" s="339"/>
      <c r="AH97" s="339">
        <f t="shared" si="6"/>
        <v>0</v>
      </c>
      <c r="AJ97" s="339"/>
      <c r="AK97" s="339"/>
      <c r="AL97" s="339"/>
      <c r="AM97" s="339"/>
      <c r="AN97" s="339"/>
      <c r="AO97" s="339">
        <f t="shared" si="7"/>
        <v>0</v>
      </c>
      <c r="AQ97" s="339"/>
      <c r="AR97" s="339"/>
      <c r="AS97" s="339"/>
      <c r="AT97" s="339"/>
      <c r="AU97" s="339"/>
      <c r="AV97" s="339">
        <f t="shared" si="8"/>
        <v>0</v>
      </c>
      <c r="AX97" s="339"/>
      <c r="AY97" s="339"/>
      <c r="AZ97" s="339"/>
      <c r="BA97" s="339"/>
      <c r="BB97" s="339"/>
      <c r="BC97" s="339">
        <f t="shared" si="9"/>
        <v>0</v>
      </c>
      <c r="BE97" s="339"/>
      <c r="BF97" s="339"/>
      <c r="BG97" s="339"/>
      <c r="BH97" s="339"/>
      <c r="BI97" s="339"/>
      <c r="BJ97" s="339">
        <f t="shared" si="10"/>
        <v>0</v>
      </c>
      <c r="BL97" s="339"/>
      <c r="BM97" s="339"/>
      <c r="BN97" s="339"/>
      <c r="BO97" s="339"/>
      <c r="BP97" s="339"/>
      <c r="BQ97" s="339">
        <f t="shared" si="11"/>
        <v>0</v>
      </c>
      <c r="BS97" s="339"/>
      <c r="BT97" s="339"/>
      <c r="BU97" s="339"/>
      <c r="BV97" s="339"/>
      <c r="BW97" s="339"/>
      <c r="BX97" s="339">
        <f t="shared" si="12"/>
        <v>0</v>
      </c>
      <c r="BZ97" s="339"/>
      <c r="CA97" s="339"/>
      <c r="CB97" s="339"/>
      <c r="CC97" s="339"/>
      <c r="CD97" s="339"/>
      <c r="CE97" s="339">
        <f t="shared" si="13"/>
        <v>0</v>
      </c>
      <c r="CG97" s="339"/>
      <c r="CH97" s="339"/>
      <c r="CI97" s="339"/>
      <c r="CJ97" s="339"/>
      <c r="CK97" s="339"/>
      <c r="CL97" s="339">
        <f t="shared" si="14"/>
        <v>0</v>
      </c>
      <c r="CN97" s="339"/>
      <c r="CO97" s="339"/>
      <c r="CP97" s="339"/>
      <c r="CQ97" s="339"/>
      <c r="CR97" s="339"/>
      <c r="CS97" s="339">
        <f t="shared" si="15"/>
        <v>0</v>
      </c>
      <c r="CU97" s="339"/>
      <c r="CV97" s="339"/>
      <c r="CW97" s="339"/>
      <c r="CX97" s="339"/>
      <c r="CY97" s="339"/>
      <c r="CZ97" s="339">
        <f t="shared" si="16"/>
        <v>0</v>
      </c>
      <c r="DB97" s="339"/>
      <c r="DC97" s="339"/>
      <c r="DD97" s="339"/>
      <c r="DE97" s="339"/>
      <c r="DF97" s="339"/>
      <c r="DG97" s="339">
        <f t="shared" si="17"/>
        <v>0</v>
      </c>
      <c r="DI97" s="339"/>
      <c r="DJ97" s="339"/>
      <c r="DK97" s="339"/>
      <c r="DL97" s="339"/>
      <c r="DM97" s="339"/>
      <c r="DN97" s="339">
        <f t="shared" si="18"/>
        <v>0</v>
      </c>
    </row>
    <row r="98" spans="1:118">
      <c r="S98" s="412"/>
      <c r="T98" s="412"/>
      <c r="V98" s="339"/>
      <c r="W98" s="339"/>
      <c r="X98" s="339"/>
      <c r="Y98" s="339"/>
      <c r="Z98" s="339"/>
      <c r="AA98" s="339">
        <f t="shared" si="5"/>
        <v>0</v>
      </c>
      <c r="AC98" s="339"/>
      <c r="AD98" s="339"/>
      <c r="AE98" s="339"/>
      <c r="AF98" s="339"/>
      <c r="AG98" s="339"/>
      <c r="AH98" s="339">
        <f t="shared" si="6"/>
        <v>0</v>
      </c>
      <c r="AJ98" s="339"/>
      <c r="AK98" s="339"/>
      <c r="AL98" s="339"/>
      <c r="AM98" s="339"/>
      <c r="AN98" s="339"/>
      <c r="AO98" s="339">
        <f t="shared" si="7"/>
        <v>0</v>
      </c>
      <c r="AQ98" s="339"/>
      <c r="AR98" s="339"/>
      <c r="AS98" s="339"/>
      <c r="AT98" s="339"/>
      <c r="AU98" s="339"/>
      <c r="AV98" s="339">
        <f t="shared" si="8"/>
        <v>0</v>
      </c>
      <c r="AX98" s="339"/>
      <c r="AY98" s="339"/>
      <c r="AZ98" s="339"/>
      <c r="BA98" s="339"/>
      <c r="BB98" s="339"/>
      <c r="BC98" s="339">
        <f t="shared" si="9"/>
        <v>0</v>
      </c>
      <c r="BE98" s="339"/>
      <c r="BF98" s="339"/>
      <c r="BG98" s="339"/>
      <c r="BH98" s="339"/>
      <c r="BI98" s="339"/>
      <c r="BJ98" s="339">
        <f t="shared" si="10"/>
        <v>0</v>
      </c>
      <c r="BL98" s="339"/>
      <c r="BM98" s="339"/>
      <c r="BN98" s="339"/>
      <c r="BO98" s="339"/>
      <c r="BP98" s="339"/>
      <c r="BQ98" s="339">
        <f t="shared" si="11"/>
        <v>0</v>
      </c>
      <c r="BS98" s="339"/>
      <c r="BT98" s="339"/>
      <c r="BU98" s="339"/>
      <c r="BV98" s="339"/>
      <c r="BW98" s="339"/>
      <c r="BX98" s="339">
        <f t="shared" si="12"/>
        <v>0</v>
      </c>
      <c r="BZ98" s="339"/>
      <c r="CA98" s="339"/>
      <c r="CB98" s="339"/>
      <c r="CC98" s="339"/>
      <c r="CD98" s="339"/>
      <c r="CE98" s="339">
        <f t="shared" si="13"/>
        <v>0</v>
      </c>
      <c r="CG98" s="339"/>
      <c r="CH98" s="339"/>
      <c r="CI98" s="339"/>
      <c r="CJ98" s="339"/>
      <c r="CK98" s="339"/>
      <c r="CL98" s="339">
        <f t="shared" si="14"/>
        <v>0</v>
      </c>
      <c r="CN98" s="339"/>
      <c r="CO98" s="339"/>
      <c r="CP98" s="339"/>
      <c r="CQ98" s="339"/>
      <c r="CR98" s="339"/>
      <c r="CS98" s="339">
        <f t="shared" si="15"/>
        <v>0</v>
      </c>
      <c r="CU98" s="339"/>
      <c r="CV98" s="339"/>
      <c r="CW98" s="339"/>
      <c r="CX98" s="339"/>
      <c r="CY98" s="339"/>
      <c r="CZ98" s="339">
        <f t="shared" si="16"/>
        <v>0</v>
      </c>
      <c r="DB98" s="339"/>
      <c r="DC98" s="339"/>
      <c r="DD98" s="339"/>
      <c r="DE98" s="339"/>
      <c r="DF98" s="339"/>
      <c r="DG98" s="339">
        <f t="shared" si="17"/>
        <v>0</v>
      </c>
      <c r="DI98" s="339"/>
      <c r="DJ98" s="339"/>
      <c r="DK98" s="339"/>
      <c r="DL98" s="339"/>
      <c r="DM98" s="339"/>
      <c r="DN98" s="339">
        <f t="shared" si="18"/>
        <v>0</v>
      </c>
    </row>
    <row r="99" spans="1:118">
      <c r="S99" s="412"/>
      <c r="T99" s="412"/>
      <c r="V99" s="339"/>
      <c r="W99" s="339"/>
      <c r="X99" s="339"/>
      <c r="Y99" s="339"/>
      <c r="Z99" s="339"/>
      <c r="AA99" s="339">
        <f t="shared" si="5"/>
        <v>0</v>
      </c>
      <c r="AC99" s="339"/>
      <c r="AD99" s="339"/>
      <c r="AE99" s="339"/>
      <c r="AF99" s="339"/>
      <c r="AG99" s="339"/>
      <c r="AH99" s="339">
        <f t="shared" si="6"/>
        <v>0</v>
      </c>
      <c r="AJ99" s="339"/>
      <c r="AK99" s="339"/>
      <c r="AL99" s="339"/>
      <c r="AM99" s="339"/>
      <c r="AN99" s="339"/>
      <c r="AO99" s="339">
        <f t="shared" si="7"/>
        <v>0</v>
      </c>
      <c r="AQ99" s="339"/>
      <c r="AR99" s="339"/>
      <c r="AS99" s="339"/>
      <c r="AT99" s="339"/>
      <c r="AU99" s="339"/>
      <c r="AV99" s="339">
        <f t="shared" si="8"/>
        <v>0</v>
      </c>
      <c r="AX99" s="339"/>
      <c r="AY99" s="339"/>
      <c r="AZ99" s="339"/>
      <c r="BA99" s="339"/>
      <c r="BB99" s="339"/>
      <c r="BC99" s="339">
        <f t="shared" si="9"/>
        <v>0</v>
      </c>
      <c r="BE99" s="339"/>
      <c r="BF99" s="339"/>
      <c r="BG99" s="339"/>
      <c r="BH99" s="339"/>
      <c r="BI99" s="339"/>
      <c r="BJ99" s="339">
        <f t="shared" si="10"/>
        <v>0</v>
      </c>
      <c r="BL99" s="339"/>
      <c r="BM99" s="339"/>
      <c r="BN99" s="339"/>
      <c r="BO99" s="339"/>
      <c r="BP99" s="339"/>
      <c r="BQ99" s="339">
        <f t="shared" si="11"/>
        <v>0</v>
      </c>
      <c r="BS99" s="339"/>
      <c r="BT99" s="339"/>
      <c r="BU99" s="339"/>
      <c r="BV99" s="339"/>
      <c r="BW99" s="339"/>
      <c r="BX99" s="339">
        <f t="shared" si="12"/>
        <v>0</v>
      </c>
      <c r="BZ99" s="339"/>
      <c r="CA99" s="339"/>
      <c r="CB99" s="339"/>
      <c r="CC99" s="339"/>
      <c r="CD99" s="339"/>
      <c r="CE99" s="339">
        <f t="shared" si="13"/>
        <v>0</v>
      </c>
      <c r="CG99" s="339"/>
      <c r="CH99" s="339"/>
      <c r="CI99" s="339"/>
      <c r="CJ99" s="339"/>
      <c r="CK99" s="339"/>
      <c r="CL99" s="339">
        <f t="shared" si="14"/>
        <v>0</v>
      </c>
      <c r="CN99" s="339"/>
      <c r="CO99" s="339"/>
      <c r="CP99" s="339"/>
      <c r="CQ99" s="339"/>
      <c r="CR99" s="339"/>
      <c r="CS99" s="339">
        <f t="shared" si="15"/>
        <v>0</v>
      </c>
      <c r="CU99" s="339"/>
      <c r="CV99" s="339"/>
      <c r="CW99" s="339"/>
      <c r="CX99" s="339"/>
      <c r="CY99" s="339"/>
      <c r="CZ99" s="339">
        <f t="shared" si="16"/>
        <v>0</v>
      </c>
      <c r="DB99" s="339"/>
      <c r="DC99" s="339"/>
      <c r="DD99" s="339"/>
      <c r="DE99" s="339"/>
      <c r="DF99" s="339"/>
      <c r="DG99" s="339">
        <f t="shared" si="17"/>
        <v>0</v>
      </c>
      <c r="DI99" s="339"/>
      <c r="DJ99" s="339"/>
      <c r="DK99" s="339"/>
      <c r="DL99" s="339"/>
      <c r="DM99" s="339"/>
      <c r="DN99" s="339">
        <f t="shared" si="18"/>
        <v>0</v>
      </c>
    </row>
    <row r="100" spans="1:118">
      <c r="S100" s="412"/>
      <c r="T100" s="412"/>
      <c r="V100" s="339"/>
      <c r="W100" s="339"/>
      <c r="X100" s="339"/>
      <c r="Y100" s="339"/>
      <c r="Z100" s="339"/>
      <c r="AA100" s="339">
        <f t="shared" si="5"/>
        <v>0</v>
      </c>
      <c r="AC100" s="339"/>
      <c r="AD100" s="339"/>
      <c r="AE100" s="339"/>
      <c r="AF100" s="339"/>
      <c r="AG100" s="339"/>
      <c r="AH100" s="339">
        <f t="shared" si="6"/>
        <v>0</v>
      </c>
      <c r="AJ100" s="339"/>
      <c r="AK100" s="339"/>
      <c r="AL100" s="339"/>
      <c r="AM100" s="339"/>
      <c r="AN100" s="339"/>
      <c r="AO100" s="339">
        <f t="shared" si="7"/>
        <v>0</v>
      </c>
      <c r="AQ100" s="339"/>
      <c r="AR100" s="339"/>
      <c r="AS100" s="339"/>
      <c r="AT100" s="339"/>
      <c r="AU100" s="339"/>
      <c r="AV100" s="339">
        <f t="shared" si="8"/>
        <v>0</v>
      </c>
      <c r="AX100" s="339"/>
      <c r="AY100" s="339"/>
      <c r="AZ100" s="339"/>
      <c r="BA100" s="339"/>
      <c r="BB100" s="339"/>
      <c r="BC100" s="339">
        <f t="shared" si="9"/>
        <v>0</v>
      </c>
      <c r="BE100" s="339"/>
      <c r="BF100" s="339"/>
      <c r="BG100" s="339"/>
      <c r="BH100" s="339"/>
      <c r="BI100" s="339"/>
      <c r="BJ100" s="339">
        <f t="shared" si="10"/>
        <v>0</v>
      </c>
      <c r="BL100" s="339"/>
      <c r="BM100" s="339"/>
      <c r="BN100" s="339"/>
      <c r="BO100" s="339"/>
      <c r="BP100" s="339"/>
      <c r="BQ100" s="339">
        <f t="shared" si="11"/>
        <v>0</v>
      </c>
      <c r="BS100" s="339"/>
      <c r="BT100" s="339"/>
      <c r="BU100" s="339"/>
      <c r="BV100" s="339"/>
      <c r="BW100" s="339"/>
      <c r="BX100" s="339">
        <f t="shared" si="12"/>
        <v>0</v>
      </c>
      <c r="BZ100" s="339"/>
      <c r="CA100" s="339"/>
      <c r="CB100" s="339"/>
      <c r="CC100" s="339"/>
      <c r="CD100" s="339"/>
      <c r="CE100" s="339">
        <f t="shared" si="13"/>
        <v>0</v>
      </c>
      <c r="CG100" s="339"/>
      <c r="CH100" s="339"/>
      <c r="CI100" s="339"/>
      <c r="CJ100" s="339"/>
      <c r="CK100" s="339"/>
      <c r="CL100" s="339">
        <f t="shared" si="14"/>
        <v>0</v>
      </c>
      <c r="CN100" s="339"/>
      <c r="CO100" s="339"/>
      <c r="CP100" s="339"/>
      <c r="CQ100" s="339"/>
      <c r="CR100" s="339"/>
      <c r="CS100" s="339">
        <f t="shared" si="15"/>
        <v>0</v>
      </c>
      <c r="CU100" s="339"/>
      <c r="CV100" s="339"/>
      <c r="CW100" s="339"/>
      <c r="CX100" s="339"/>
      <c r="CY100" s="339"/>
      <c r="CZ100" s="339">
        <f t="shared" si="16"/>
        <v>0</v>
      </c>
      <c r="DB100" s="339"/>
      <c r="DC100" s="339"/>
      <c r="DD100" s="339"/>
      <c r="DE100" s="339"/>
      <c r="DF100" s="339"/>
      <c r="DG100" s="339">
        <f t="shared" si="17"/>
        <v>0</v>
      </c>
      <c r="DI100" s="339"/>
      <c r="DJ100" s="339"/>
      <c r="DK100" s="339"/>
      <c r="DL100" s="339"/>
      <c r="DM100" s="339"/>
      <c r="DN100" s="339">
        <f t="shared" si="18"/>
        <v>0</v>
      </c>
    </row>
    <row r="101" spans="1:118" s="402" customFormat="1">
      <c r="A101" s="340"/>
      <c r="B101" s="341"/>
      <c r="C101" s="342"/>
      <c r="D101" s="342"/>
      <c r="E101" s="342"/>
      <c r="F101" s="342"/>
      <c r="G101" s="340"/>
      <c r="H101" s="341"/>
      <c r="I101" s="342"/>
      <c r="J101" s="342"/>
      <c r="K101" s="342"/>
      <c r="L101" s="342"/>
      <c r="M101" s="340"/>
      <c r="N101" s="341"/>
      <c r="O101" s="342"/>
      <c r="P101" s="342"/>
      <c r="Q101" s="342"/>
      <c r="R101" s="342"/>
      <c r="S101" s="338" t="s">
        <v>132</v>
      </c>
      <c r="T101" s="338" t="s">
        <v>133</v>
      </c>
      <c r="U101" s="342">
        <v>2</v>
      </c>
      <c r="V101" s="1518" t="str">
        <f>V1</f>
        <v xml:space="preserve"> - ผนังก่ออิฐมวลเบา (A)</v>
      </c>
      <c r="W101" s="1518"/>
      <c r="X101" s="1518"/>
      <c r="Y101" s="1518"/>
      <c r="Z101" s="1518"/>
      <c r="AA101" s="1518"/>
      <c r="AB101" s="342">
        <f>U101</f>
        <v>2</v>
      </c>
      <c r="AC101" s="1512" t="str">
        <f>AC1</f>
        <v xml:space="preserve"> - ผนังก่ออิฐมอญ ครึ่งแผ่น (B)</v>
      </c>
      <c r="AD101" s="1513"/>
      <c r="AE101" s="1513"/>
      <c r="AF101" s="1513"/>
      <c r="AG101" s="1513"/>
      <c r="AH101" s="1514"/>
      <c r="AI101" s="342">
        <f>AB101</f>
        <v>2</v>
      </c>
      <c r="AJ101" s="1512" t="str">
        <f>AJ1</f>
        <v xml:space="preserve"> - ผนังโครงคร่าวกัลวาไนซ์ปิดทับแผ่นซีเมนต์บอร์ดชนิดกันน้ำ หนา 12 มม. (C)</v>
      </c>
      <c r="AK101" s="1513"/>
      <c r="AL101" s="1513"/>
      <c r="AM101" s="1513"/>
      <c r="AN101" s="1513"/>
      <c r="AO101" s="1514"/>
      <c r="AP101" s="342">
        <f>AI101</f>
        <v>2</v>
      </c>
      <c r="AQ101" s="1512" t="str">
        <f>AQ1</f>
        <v xml:space="preserve"> - ผนังโครงคร่าวกัลวาไนซ์พร้อมติดตั้งฉนวนกันเสียง ปิดทับแผ่นยิปซั่มบอร์ด หนา 12 มม. (D)</v>
      </c>
      <c r="AR101" s="1513"/>
      <c r="AS101" s="1513"/>
      <c r="AT101" s="1513"/>
      <c r="AU101" s="1513"/>
      <c r="AV101" s="1514"/>
      <c r="AW101" s="342">
        <f>AI101</f>
        <v>2</v>
      </c>
      <c r="AX101" s="1512" t="str">
        <f>AX1</f>
        <v>A145 ทาสีภายนอก</v>
      </c>
      <c r="AY101" s="1513"/>
      <c r="AZ101" s="1513"/>
      <c r="BA101" s="1513"/>
      <c r="BB101" s="1513"/>
      <c r="BC101" s="1514"/>
      <c r="BD101" s="342">
        <f>AW101</f>
        <v>2</v>
      </c>
      <c r="BE101" s="1512" t="str">
        <f>BE1</f>
        <v>A2 ทาสีภายใน</v>
      </c>
      <c r="BF101" s="1513"/>
      <c r="BG101" s="1513"/>
      <c r="BH101" s="1513"/>
      <c r="BI101" s="1513"/>
      <c r="BJ101" s="1514"/>
      <c r="BK101" s="342">
        <f>BD101</f>
        <v>2</v>
      </c>
      <c r="BL101" s="1512" t="str">
        <f>BL1</f>
        <v>B145 ทาสีภายนอก</v>
      </c>
      <c r="BM101" s="1513"/>
      <c r="BN101" s="1513"/>
      <c r="BO101" s="1513"/>
      <c r="BP101" s="1513"/>
      <c r="BQ101" s="1514"/>
      <c r="BR101" s="342">
        <f>BK101</f>
        <v>2</v>
      </c>
      <c r="BS101" s="1512" t="str">
        <f>BS1</f>
        <v>B2 ทาสีภายใน</v>
      </c>
      <c r="BT101" s="1513"/>
      <c r="BU101" s="1513"/>
      <c r="BV101" s="1513"/>
      <c r="BW101" s="1513"/>
      <c r="BX101" s="1514"/>
      <c r="BY101" s="342">
        <f>BR101</f>
        <v>2</v>
      </c>
      <c r="BZ101" s="1512" t="str">
        <f>BZ1</f>
        <v>B3 กรุกระเบื้อง</v>
      </c>
      <c r="CA101" s="1513"/>
      <c r="CB101" s="1513"/>
      <c r="CC101" s="1513"/>
      <c r="CD101" s="1513"/>
      <c r="CE101" s="1514"/>
      <c r="CF101" s="342">
        <f>BY101</f>
        <v>2</v>
      </c>
      <c r="CG101" s="1512" t="str">
        <f>CG1</f>
        <v>C145 ทาสีภายนอก</v>
      </c>
      <c r="CH101" s="1513"/>
      <c r="CI101" s="1513"/>
      <c r="CJ101" s="1513"/>
      <c r="CK101" s="1513"/>
      <c r="CL101" s="1514"/>
      <c r="CM101" s="342">
        <f>CF101</f>
        <v>2</v>
      </c>
      <c r="CN101" s="1512" t="str">
        <f>CN1</f>
        <v>C2 ทาสีภายใน</v>
      </c>
      <c r="CO101" s="1513"/>
      <c r="CP101" s="1513"/>
      <c r="CQ101" s="1513"/>
      <c r="CR101" s="1513"/>
      <c r="CS101" s="1514"/>
      <c r="CT101" s="342">
        <f>CM101</f>
        <v>2</v>
      </c>
      <c r="CU101" s="1512" t="str">
        <f>CU1</f>
        <v>D2 ทาสีภายใน</v>
      </c>
      <c r="CV101" s="1513"/>
      <c r="CW101" s="1513"/>
      <c r="CX101" s="1513"/>
      <c r="CY101" s="1513"/>
      <c r="CZ101" s="1514"/>
      <c r="DA101" s="342">
        <f>CT101</f>
        <v>2</v>
      </c>
      <c r="DB101" s="1512" t="str">
        <f>DB1</f>
        <v>E145 ทาสีภายนอก</v>
      </c>
      <c r="DC101" s="1513"/>
      <c r="DD101" s="1513"/>
      <c r="DE101" s="1513"/>
      <c r="DF101" s="1513"/>
      <c r="DG101" s="1514"/>
      <c r="DH101" s="342">
        <f>DA101</f>
        <v>2</v>
      </c>
      <c r="DI101" s="1512" t="str">
        <f>DI1</f>
        <v>E2 ทาสีภายใน</v>
      </c>
      <c r="DJ101" s="1513"/>
      <c r="DK101" s="1513"/>
      <c r="DL101" s="1513"/>
      <c r="DM101" s="1513"/>
      <c r="DN101" s="1514"/>
    </row>
    <row r="102" spans="1:118">
      <c r="S102" s="409"/>
      <c r="T102" s="409"/>
      <c r="V102" s="409">
        <v>3.7</v>
      </c>
      <c r="W102" s="409">
        <v>2.9</v>
      </c>
      <c r="X102" s="409"/>
      <c r="Y102" s="409" t="s">
        <v>720</v>
      </c>
      <c r="Z102" s="409">
        <f>Q5</f>
        <v>3.8249999999999997</v>
      </c>
      <c r="AA102" s="425">
        <f>V102*W102+X102-Z102</f>
        <v>6.9050000000000011</v>
      </c>
      <c r="AC102" s="410">
        <v>3.2</v>
      </c>
      <c r="AD102" s="410">
        <v>3</v>
      </c>
      <c r="AE102" s="410"/>
      <c r="AF102" s="410"/>
      <c r="AG102" s="410"/>
      <c r="AH102" s="411">
        <f>AC102*AD102+AE102-AG102</f>
        <v>9.6000000000000014</v>
      </c>
      <c r="AJ102" s="410"/>
      <c r="AK102" s="410"/>
      <c r="AL102" s="410"/>
      <c r="AM102" s="410"/>
      <c r="AN102" s="410"/>
      <c r="AO102" s="411">
        <f>AJ102*AK102+AL102-AN102</f>
        <v>0</v>
      </c>
      <c r="AQ102" s="410">
        <v>50.4</v>
      </c>
      <c r="AR102" s="410">
        <v>2.5499999999999998</v>
      </c>
      <c r="AS102" s="410"/>
      <c r="AT102" s="410"/>
      <c r="AU102" s="410"/>
      <c r="AV102" s="411">
        <f>AQ102*AR102+AS102-AU102</f>
        <v>128.51999999999998</v>
      </c>
      <c r="AX102" s="410">
        <v>61</v>
      </c>
      <c r="AY102" s="410">
        <v>3.55</v>
      </c>
      <c r="AZ102" s="410"/>
      <c r="BA102" s="410" t="s">
        <v>741</v>
      </c>
      <c r="BB102" s="410">
        <f>Q5*2+Q2+Q11+Q3*2+Q5</f>
        <v>17.375</v>
      </c>
      <c r="BC102" s="411">
        <f>AX102*AY102+AZ102-BB102</f>
        <v>199.17499999999998</v>
      </c>
      <c r="BE102" s="410">
        <v>14</v>
      </c>
      <c r="BF102" s="410">
        <v>2.5499999999999998</v>
      </c>
      <c r="BG102" s="410"/>
      <c r="BH102" s="410" t="s">
        <v>745</v>
      </c>
      <c r="BI102" s="410">
        <f>K8+Q5</f>
        <v>5.875</v>
      </c>
      <c r="BJ102" s="411">
        <f>BE102*BF102+BG102-BI102</f>
        <v>29.824999999999996</v>
      </c>
      <c r="BL102" s="410">
        <v>13.175000000000001</v>
      </c>
      <c r="BM102" s="410">
        <v>3.4</v>
      </c>
      <c r="BN102" s="410"/>
      <c r="BO102" s="410" t="s">
        <v>716</v>
      </c>
      <c r="BP102" s="410">
        <f>K3</f>
        <v>2.25</v>
      </c>
      <c r="BQ102" s="411">
        <f>BL102*BM102+BN102-BP102</f>
        <v>42.545000000000002</v>
      </c>
      <c r="BS102" s="410">
        <v>2.75</v>
      </c>
      <c r="BT102" s="410">
        <v>3.1</v>
      </c>
      <c r="BU102" s="410"/>
      <c r="BV102" s="410"/>
      <c r="BW102" s="410"/>
      <c r="BX102" s="411">
        <f>BS102*BT102+BU102-BW102</f>
        <v>8.5250000000000004</v>
      </c>
      <c r="BZ102" s="410">
        <v>25.65</v>
      </c>
      <c r="CA102" s="410">
        <v>2.6</v>
      </c>
      <c r="CB102" s="410"/>
      <c r="CC102" s="410" t="s">
        <v>716</v>
      </c>
      <c r="CD102" s="410">
        <f>K3</f>
        <v>2.25</v>
      </c>
      <c r="CE102" s="411">
        <f>BZ102*CA102+CB102-CD102</f>
        <v>64.44</v>
      </c>
      <c r="CG102" s="410"/>
      <c r="CH102" s="410"/>
      <c r="CI102" s="410"/>
      <c r="CJ102" s="410"/>
      <c r="CK102" s="410"/>
      <c r="CL102" s="411">
        <f>CG102*CH102+CI102-CK102</f>
        <v>0</v>
      </c>
      <c r="CN102" s="410"/>
      <c r="CO102" s="410"/>
      <c r="CP102" s="410"/>
      <c r="CQ102" s="410"/>
      <c r="CR102" s="410"/>
      <c r="CS102" s="411">
        <f>CN102*CO102+CP102-CR102</f>
        <v>0</v>
      </c>
      <c r="CU102" s="410">
        <v>50.774999999999999</v>
      </c>
      <c r="CV102" s="410">
        <v>2.5499999999999998</v>
      </c>
      <c r="CW102" s="410"/>
      <c r="CX102" s="410" t="s">
        <v>756</v>
      </c>
      <c r="CY102" s="410">
        <f>K9*2+K12*2</f>
        <v>11.19</v>
      </c>
      <c r="CZ102" s="411">
        <f>CU102*CV102+CW102-CY102</f>
        <v>118.28625</v>
      </c>
      <c r="DB102" s="410">
        <v>5.7</v>
      </c>
      <c r="DC102" s="410">
        <v>1</v>
      </c>
      <c r="DD102" s="410"/>
      <c r="DE102" s="410"/>
      <c r="DF102" s="410"/>
      <c r="DG102" s="411">
        <f>DB102*DC102+DD102-DF102</f>
        <v>5.7</v>
      </c>
      <c r="DI102" s="410"/>
      <c r="DJ102" s="410"/>
      <c r="DK102" s="410"/>
      <c r="DL102" s="410"/>
      <c r="DM102" s="410"/>
      <c r="DN102" s="411">
        <f>DI102*DJ102+DK102-DM102</f>
        <v>0</v>
      </c>
    </row>
    <row r="103" spans="1:118">
      <c r="S103" s="412"/>
      <c r="T103" s="409"/>
      <c r="V103" s="339">
        <v>3.7</v>
      </c>
      <c r="W103" s="339">
        <v>2.9</v>
      </c>
      <c r="X103" s="339"/>
      <c r="Y103" s="339" t="s">
        <v>720</v>
      </c>
      <c r="Z103" s="339">
        <f>Q5</f>
        <v>3.8249999999999997</v>
      </c>
      <c r="AA103" s="339">
        <f>V103*W103+X103-Z103</f>
        <v>6.9050000000000011</v>
      </c>
      <c r="AC103" s="339">
        <v>3.2</v>
      </c>
      <c r="AD103" s="339">
        <v>3</v>
      </c>
      <c r="AE103" s="339"/>
      <c r="AF103" s="339"/>
      <c r="AG103" s="339"/>
      <c r="AH103" s="339">
        <f>AC103*AD103+AE103-AG103</f>
        <v>9.6000000000000014</v>
      </c>
      <c r="AJ103" s="339"/>
      <c r="AK103" s="339"/>
      <c r="AL103" s="339"/>
      <c r="AM103" s="339"/>
      <c r="AN103" s="339"/>
      <c r="AO103" s="339">
        <f>AJ103*AK103+AL103-AN103</f>
        <v>0</v>
      </c>
      <c r="AQ103" s="339"/>
      <c r="AR103" s="339"/>
      <c r="AS103" s="339"/>
      <c r="AT103" s="339"/>
      <c r="AU103" s="339"/>
      <c r="AV103" s="339">
        <f>AQ103*AR103+AS103-AU103</f>
        <v>0</v>
      </c>
      <c r="AX103" s="339">
        <v>8.75</v>
      </c>
      <c r="AY103" s="339">
        <v>3.15</v>
      </c>
      <c r="AZ103" s="339"/>
      <c r="BA103" s="339" t="s">
        <v>711</v>
      </c>
      <c r="BB103" s="339">
        <f>Q6</f>
        <v>7.7000000000000011</v>
      </c>
      <c r="BC103" s="339">
        <f>AX103*AY103+AZ103-BB103</f>
        <v>19.862499999999997</v>
      </c>
      <c r="BE103" s="339">
        <v>11</v>
      </c>
      <c r="BF103" s="339">
        <v>3.3</v>
      </c>
      <c r="BG103" s="339"/>
      <c r="BH103" s="339" t="s">
        <v>746</v>
      </c>
      <c r="BI103" s="339">
        <f>K8+Q3*2</f>
        <v>3.4</v>
      </c>
      <c r="BJ103" s="339">
        <f>BE103*BF103+BG103-BI103</f>
        <v>32.9</v>
      </c>
      <c r="BL103" s="339">
        <v>7.375</v>
      </c>
      <c r="BM103" s="339">
        <v>3.95</v>
      </c>
      <c r="BN103" s="339"/>
      <c r="BO103" s="339" t="s">
        <v>751</v>
      </c>
      <c r="BP103" s="339">
        <f>Q3+Q4</f>
        <v>1.675</v>
      </c>
      <c r="BQ103" s="339">
        <f>BL103*BM103+BN103-BP103</f>
        <v>27.456250000000001</v>
      </c>
      <c r="BS103" s="339"/>
      <c r="BT103" s="339"/>
      <c r="BU103" s="339"/>
      <c r="BV103" s="339"/>
      <c r="BW103" s="339"/>
      <c r="BX103" s="339">
        <f>BS103*BT103+BU103-BW103</f>
        <v>0</v>
      </c>
      <c r="BZ103" s="339">
        <v>23.21</v>
      </c>
      <c r="CA103" s="339">
        <v>2.6</v>
      </c>
      <c r="CB103" s="339"/>
      <c r="CC103" s="339" t="s">
        <v>752</v>
      </c>
      <c r="CD103" s="339">
        <f>K3+Q3+Q4</f>
        <v>3.9249999999999998</v>
      </c>
      <c r="CE103" s="339">
        <f>BZ103*CA103+CB103-CD103</f>
        <v>56.421000000000006</v>
      </c>
      <c r="CG103" s="339"/>
      <c r="CH103" s="339"/>
      <c r="CI103" s="339"/>
      <c r="CJ103" s="339"/>
      <c r="CK103" s="339"/>
      <c r="CL103" s="339">
        <f>CG103*CH103+CI103-CK103</f>
        <v>0</v>
      </c>
      <c r="CN103" s="339"/>
      <c r="CO103" s="339"/>
      <c r="CP103" s="339"/>
      <c r="CQ103" s="339"/>
      <c r="CR103" s="339"/>
      <c r="CS103" s="339">
        <f>CN103*CO103+CP103-CR103</f>
        <v>0</v>
      </c>
      <c r="CU103" s="339"/>
      <c r="CV103" s="339"/>
      <c r="CW103" s="339"/>
      <c r="CX103" s="339"/>
      <c r="CY103" s="339"/>
      <c r="CZ103" s="339">
        <f>CU103*CV103+CW103-CY103</f>
        <v>0</v>
      </c>
      <c r="DB103" s="339">
        <v>1.7</v>
      </c>
      <c r="DC103" s="339">
        <v>1</v>
      </c>
      <c r="DD103" s="339"/>
      <c r="DE103" s="339"/>
      <c r="DF103" s="339"/>
      <c r="DG103" s="339">
        <f>DB103*DC103+DD103-DF103</f>
        <v>1.7</v>
      </c>
      <c r="DI103" s="339"/>
      <c r="DJ103" s="339"/>
      <c r="DK103" s="339"/>
      <c r="DL103" s="339"/>
      <c r="DM103" s="339"/>
      <c r="DN103" s="339">
        <f>DI103*DJ103+DK103-DM103</f>
        <v>0</v>
      </c>
    </row>
    <row r="104" spans="1:118">
      <c r="S104" s="412"/>
      <c r="T104" s="409"/>
      <c r="V104" s="339">
        <v>3.7</v>
      </c>
      <c r="W104" s="339">
        <v>2.9</v>
      </c>
      <c r="X104" s="339"/>
      <c r="Y104" s="339" t="s">
        <v>720</v>
      </c>
      <c r="Z104" s="339">
        <f>Q5</f>
        <v>3.8249999999999997</v>
      </c>
      <c r="AA104" s="339">
        <f t="shared" ref="AA104:AA211" si="47">V104*W104+X104-Z104</f>
        <v>6.9050000000000011</v>
      </c>
      <c r="AC104" s="339">
        <v>3.7</v>
      </c>
      <c r="AD104" s="339">
        <v>3</v>
      </c>
      <c r="AE104" s="339"/>
      <c r="AF104" s="339"/>
      <c r="AG104" s="339"/>
      <c r="AH104" s="339">
        <f t="shared" ref="AH104:AH211" si="48">AC104*AD104+AE104-AG104</f>
        <v>11.100000000000001</v>
      </c>
      <c r="AJ104" s="339"/>
      <c r="AK104" s="339"/>
      <c r="AL104" s="339"/>
      <c r="AM104" s="339"/>
      <c r="AN104" s="339"/>
      <c r="AO104" s="339">
        <f t="shared" ref="AO104:AO211" si="49">AJ104*AK104+AL104-AN104</f>
        <v>0</v>
      </c>
      <c r="AQ104" s="339"/>
      <c r="AR104" s="339"/>
      <c r="AS104" s="339"/>
      <c r="AT104" s="339"/>
      <c r="AU104" s="339"/>
      <c r="AV104" s="339">
        <f t="shared" ref="AV104:AV211" si="50">AQ104*AR104+AS104-AU104</f>
        <v>0</v>
      </c>
      <c r="AX104" s="339">
        <v>49.725000000000001</v>
      </c>
      <c r="AY104" s="339">
        <v>3.4</v>
      </c>
      <c r="AZ104" s="339"/>
      <c r="BA104" s="339" t="s">
        <v>742</v>
      </c>
      <c r="BB104" s="339">
        <f>K6*2+K4+Q5*2+Q11+K4</f>
        <v>24.9</v>
      </c>
      <c r="BC104" s="339">
        <f t="shared" ref="BC104:BC211" si="51">AX104*AY104+AZ104-BB104</f>
        <v>144.16499999999999</v>
      </c>
      <c r="BE104" s="339">
        <v>7.2</v>
      </c>
      <c r="BF104" s="339">
        <v>2.5499999999999998</v>
      </c>
      <c r="BG104" s="339"/>
      <c r="BH104" s="339" t="s">
        <v>726</v>
      </c>
      <c r="BI104" s="339">
        <f>K9</f>
        <v>1.845</v>
      </c>
      <c r="BJ104" s="339">
        <f t="shared" ref="BJ104:BJ211" si="52">BE104*BF104+BG104-BI104</f>
        <v>16.515000000000001</v>
      </c>
      <c r="BL104" s="339"/>
      <c r="BM104" s="339"/>
      <c r="BN104" s="339"/>
      <c r="BO104" s="339"/>
      <c r="BP104" s="339"/>
      <c r="BQ104" s="339">
        <f t="shared" ref="BQ104:BQ211" si="53">BL104*BM104+BN104-BP104</f>
        <v>0</v>
      </c>
      <c r="BS104" s="339"/>
      <c r="BT104" s="339"/>
      <c r="BU104" s="339"/>
      <c r="BV104" s="339"/>
      <c r="BW104" s="339"/>
      <c r="BX104" s="339">
        <f t="shared" ref="BX104:BX211" si="54">BS104*BT104+BU104-BW104</f>
        <v>0</v>
      </c>
      <c r="BZ104" s="339"/>
      <c r="CA104" s="339"/>
      <c r="CB104" s="339"/>
      <c r="CC104" s="339"/>
      <c r="CD104" s="339"/>
      <c r="CE104" s="339">
        <f t="shared" ref="CE104:CE211" si="55">BZ104*CA104+CB104-CD104</f>
        <v>0</v>
      </c>
      <c r="CG104" s="339"/>
      <c r="CH104" s="339"/>
      <c r="CI104" s="339"/>
      <c r="CJ104" s="339"/>
      <c r="CK104" s="339"/>
      <c r="CL104" s="339">
        <f t="shared" ref="CL104:CL211" si="56">CG104*CH104+CI104-CK104</f>
        <v>0</v>
      </c>
      <c r="CN104" s="339"/>
      <c r="CO104" s="339"/>
      <c r="CP104" s="339"/>
      <c r="CQ104" s="339"/>
      <c r="CR104" s="339"/>
      <c r="CS104" s="339">
        <f t="shared" ref="CS104:CS211" si="57">CN104*CO104+CP104-CR104</f>
        <v>0</v>
      </c>
      <c r="CU104" s="339"/>
      <c r="CV104" s="339"/>
      <c r="CW104" s="339"/>
      <c r="CX104" s="339"/>
      <c r="CY104" s="339"/>
      <c r="CZ104" s="339">
        <f t="shared" ref="CZ104:CZ211" si="58">CU104*CV104+CW104-CY104</f>
        <v>0</v>
      </c>
      <c r="DB104" s="339">
        <v>1.7</v>
      </c>
      <c r="DC104" s="339">
        <v>1</v>
      </c>
      <c r="DD104" s="339"/>
      <c r="DE104" s="339"/>
      <c r="DF104" s="339"/>
      <c r="DG104" s="339">
        <f t="shared" ref="DG104:DG211" si="59">DB104*DC104+DD104-DF104</f>
        <v>1.7</v>
      </c>
      <c r="DI104" s="339"/>
      <c r="DJ104" s="339"/>
      <c r="DK104" s="339"/>
      <c r="DL104" s="339"/>
      <c r="DM104" s="339"/>
      <c r="DN104" s="339">
        <f t="shared" ref="DN104:DN211" si="60">DI104*DJ104+DK104-DM104</f>
        <v>0</v>
      </c>
    </row>
    <row r="105" spans="1:118">
      <c r="S105" s="412"/>
      <c r="T105" s="409"/>
      <c r="V105" s="339">
        <v>3.7</v>
      </c>
      <c r="W105" s="339">
        <v>2.9</v>
      </c>
      <c r="X105" s="339"/>
      <c r="Y105" s="339" t="s">
        <v>720</v>
      </c>
      <c r="Z105" s="339">
        <f>Q5</f>
        <v>3.8249999999999997</v>
      </c>
      <c r="AA105" s="339">
        <f t="shared" si="47"/>
        <v>6.9050000000000011</v>
      </c>
      <c r="AC105" s="339">
        <v>3.7</v>
      </c>
      <c r="AD105" s="339">
        <v>3</v>
      </c>
      <c r="AE105" s="339"/>
      <c r="AF105" s="339"/>
      <c r="AG105" s="339"/>
      <c r="AH105" s="339">
        <f t="shared" si="48"/>
        <v>11.100000000000001</v>
      </c>
      <c r="AJ105" s="339"/>
      <c r="AK105" s="339"/>
      <c r="AL105" s="339"/>
      <c r="AM105" s="339"/>
      <c r="AN105" s="339"/>
      <c r="AO105" s="339">
        <f t="shared" si="49"/>
        <v>0</v>
      </c>
      <c r="AQ105" s="339"/>
      <c r="AR105" s="339"/>
      <c r="AS105" s="339"/>
      <c r="AT105" s="339"/>
      <c r="AU105" s="339"/>
      <c r="AV105" s="339">
        <f t="shared" si="50"/>
        <v>0</v>
      </c>
      <c r="AX105" s="339">
        <v>67.2</v>
      </c>
      <c r="AY105" s="339">
        <v>3.4</v>
      </c>
      <c r="AZ105" s="339"/>
      <c r="BA105" s="339" t="s">
        <v>743</v>
      </c>
      <c r="BB105" s="339">
        <f>K12*2+K8+Q11+Q2+Q5*2+K6*2</f>
        <v>31.25</v>
      </c>
      <c r="BC105" s="339">
        <f t="shared" si="51"/>
        <v>197.23</v>
      </c>
      <c r="BE105" s="339">
        <v>7.2</v>
      </c>
      <c r="BF105" s="339">
        <v>2.5499999999999998</v>
      </c>
      <c r="BG105" s="339"/>
      <c r="BH105" s="339" t="s">
        <v>726</v>
      </c>
      <c r="BI105" s="339">
        <f>K9</f>
        <v>1.845</v>
      </c>
      <c r="BJ105" s="339">
        <f t="shared" si="52"/>
        <v>16.515000000000001</v>
      </c>
      <c r="BL105" s="339"/>
      <c r="BM105" s="339"/>
      <c r="BN105" s="339"/>
      <c r="BO105" s="339"/>
      <c r="BP105" s="339"/>
      <c r="BQ105" s="339">
        <f t="shared" si="53"/>
        <v>0</v>
      </c>
      <c r="BS105" s="339"/>
      <c r="BT105" s="339"/>
      <c r="BU105" s="339"/>
      <c r="BV105" s="339"/>
      <c r="BW105" s="339"/>
      <c r="BX105" s="339">
        <f t="shared" si="54"/>
        <v>0</v>
      </c>
      <c r="BZ105" s="339"/>
      <c r="CA105" s="339"/>
      <c r="CB105" s="339"/>
      <c r="CC105" s="339"/>
      <c r="CD105" s="339"/>
      <c r="CE105" s="339">
        <f t="shared" si="55"/>
        <v>0</v>
      </c>
      <c r="CG105" s="339"/>
      <c r="CH105" s="339"/>
      <c r="CI105" s="339"/>
      <c r="CJ105" s="339"/>
      <c r="CK105" s="339"/>
      <c r="CL105" s="339">
        <f t="shared" si="56"/>
        <v>0</v>
      </c>
      <c r="CN105" s="339"/>
      <c r="CO105" s="339"/>
      <c r="CP105" s="339"/>
      <c r="CQ105" s="339"/>
      <c r="CR105" s="339"/>
      <c r="CS105" s="339">
        <f t="shared" si="57"/>
        <v>0</v>
      </c>
      <c r="CU105" s="339"/>
      <c r="CV105" s="339"/>
      <c r="CW105" s="339"/>
      <c r="CX105" s="339"/>
      <c r="CY105" s="339"/>
      <c r="CZ105" s="339">
        <f t="shared" si="58"/>
        <v>0</v>
      </c>
      <c r="DB105" s="339">
        <v>3.7</v>
      </c>
      <c r="DC105" s="339">
        <v>1</v>
      </c>
      <c r="DD105" s="339"/>
      <c r="DE105" s="339"/>
      <c r="DF105" s="339"/>
      <c r="DG105" s="339">
        <f t="shared" si="59"/>
        <v>3.7</v>
      </c>
      <c r="DI105" s="339"/>
      <c r="DJ105" s="339"/>
      <c r="DK105" s="339"/>
      <c r="DL105" s="339"/>
      <c r="DM105" s="339"/>
      <c r="DN105" s="339">
        <f t="shared" si="60"/>
        <v>0</v>
      </c>
    </row>
    <row r="106" spans="1:118">
      <c r="S106" s="412"/>
      <c r="T106" s="409"/>
      <c r="V106" s="339">
        <v>5.7</v>
      </c>
      <c r="W106" s="339">
        <v>2.9</v>
      </c>
      <c r="X106" s="339"/>
      <c r="Y106" s="339"/>
      <c r="Z106" s="339"/>
      <c r="AA106" s="339">
        <f t="shared" si="47"/>
        <v>16.53</v>
      </c>
      <c r="AC106" s="339">
        <v>3.7</v>
      </c>
      <c r="AD106" s="339">
        <v>3</v>
      </c>
      <c r="AE106" s="339"/>
      <c r="AF106" s="339"/>
      <c r="AG106" s="339"/>
      <c r="AH106" s="339">
        <f t="shared" si="48"/>
        <v>11.100000000000001</v>
      </c>
      <c r="AJ106" s="339"/>
      <c r="AK106" s="339"/>
      <c r="AL106" s="339"/>
      <c r="AM106" s="339"/>
      <c r="AN106" s="339"/>
      <c r="AO106" s="339">
        <f t="shared" si="49"/>
        <v>0</v>
      </c>
      <c r="AQ106" s="339"/>
      <c r="AR106" s="339"/>
      <c r="AS106" s="339"/>
      <c r="AT106" s="339"/>
      <c r="AU106" s="339"/>
      <c r="AV106" s="339">
        <f t="shared" si="50"/>
        <v>0</v>
      </c>
      <c r="AX106" s="339">
        <v>20.975000000000001</v>
      </c>
      <c r="AY106" s="339">
        <v>3.55</v>
      </c>
      <c r="AZ106" s="339"/>
      <c r="BA106" s="339" t="s">
        <v>744</v>
      </c>
      <c r="BB106" s="339">
        <f>Q11+Q5*2</f>
        <v>9.8999999999999986</v>
      </c>
      <c r="BC106" s="339">
        <f t="shared" si="51"/>
        <v>64.561250000000001</v>
      </c>
      <c r="BE106" s="339">
        <v>30.6</v>
      </c>
      <c r="BF106" s="339">
        <v>2.5499999999999998</v>
      </c>
      <c r="BG106" s="339"/>
      <c r="BH106" s="339" t="s">
        <v>747</v>
      </c>
      <c r="BI106" s="339">
        <f>K6+Q5*2</f>
        <v>12.399999999999999</v>
      </c>
      <c r="BJ106" s="339">
        <f t="shared" si="52"/>
        <v>65.63</v>
      </c>
      <c r="BL106" s="339"/>
      <c r="BM106" s="339"/>
      <c r="BN106" s="339"/>
      <c r="BO106" s="339"/>
      <c r="BP106" s="339"/>
      <c r="BQ106" s="339">
        <f t="shared" si="53"/>
        <v>0</v>
      </c>
      <c r="BS106" s="339"/>
      <c r="BT106" s="339"/>
      <c r="BU106" s="339"/>
      <c r="BV106" s="339"/>
      <c r="BW106" s="339"/>
      <c r="BX106" s="339">
        <f t="shared" si="54"/>
        <v>0</v>
      </c>
      <c r="BZ106" s="339"/>
      <c r="CA106" s="339"/>
      <c r="CB106" s="339"/>
      <c r="CC106" s="339"/>
      <c r="CD106" s="339"/>
      <c r="CE106" s="339">
        <f t="shared" si="55"/>
        <v>0</v>
      </c>
      <c r="CG106" s="339"/>
      <c r="CH106" s="339"/>
      <c r="CI106" s="339"/>
      <c r="CJ106" s="339"/>
      <c r="CK106" s="339"/>
      <c r="CL106" s="339">
        <f t="shared" si="56"/>
        <v>0</v>
      </c>
      <c r="CN106" s="339"/>
      <c r="CO106" s="339"/>
      <c r="CP106" s="339"/>
      <c r="CQ106" s="339"/>
      <c r="CR106" s="339"/>
      <c r="CS106" s="339">
        <f t="shared" si="57"/>
        <v>0</v>
      </c>
      <c r="CU106" s="339"/>
      <c r="CV106" s="339"/>
      <c r="CW106" s="339"/>
      <c r="CX106" s="339"/>
      <c r="CY106" s="339"/>
      <c r="CZ106" s="339">
        <f t="shared" si="58"/>
        <v>0</v>
      </c>
      <c r="DB106" s="339">
        <v>3.7</v>
      </c>
      <c r="DC106" s="339">
        <v>1</v>
      </c>
      <c r="DD106" s="339"/>
      <c r="DE106" s="339"/>
      <c r="DF106" s="339"/>
      <c r="DG106" s="339">
        <f t="shared" si="59"/>
        <v>3.7</v>
      </c>
      <c r="DI106" s="339"/>
      <c r="DJ106" s="339"/>
      <c r="DK106" s="339"/>
      <c r="DL106" s="339"/>
      <c r="DM106" s="339"/>
      <c r="DN106" s="339">
        <f t="shared" si="60"/>
        <v>0</v>
      </c>
    </row>
    <row r="107" spans="1:118">
      <c r="S107" s="412"/>
      <c r="T107" s="409"/>
      <c r="V107" s="339">
        <v>5.7</v>
      </c>
      <c r="W107" s="339">
        <v>2.9</v>
      </c>
      <c r="X107" s="339"/>
      <c r="Y107" s="339"/>
      <c r="Z107" s="339"/>
      <c r="AA107" s="339">
        <f t="shared" si="47"/>
        <v>16.53</v>
      </c>
      <c r="AC107" s="339">
        <v>3.7</v>
      </c>
      <c r="AD107" s="339">
        <v>3.35</v>
      </c>
      <c r="AE107" s="339"/>
      <c r="AF107" s="339"/>
      <c r="AG107" s="339"/>
      <c r="AH107" s="339">
        <f t="shared" si="48"/>
        <v>12.395000000000001</v>
      </c>
      <c r="AJ107" s="339"/>
      <c r="AK107" s="339"/>
      <c r="AL107" s="339"/>
      <c r="AM107" s="339"/>
      <c r="AN107" s="339"/>
      <c r="AO107" s="339">
        <f t="shared" si="49"/>
        <v>0</v>
      </c>
      <c r="AQ107" s="339"/>
      <c r="AR107" s="339"/>
      <c r="AS107" s="339"/>
      <c r="AT107" s="339"/>
      <c r="AU107" s="339"/>
      <c r="AV107" s="339">
        <f t="shared" si="50"/>
        <v>0</v>
      </c>
      <c r="AX107" s="339">
        <f>1.3*6</f>
        <v>7.8000000000000007</v>
      </c>
      <c r="AY107" s="339">
        <v>3.55</v>
      </c>
      <c r="AZ107" s="339"/>
      <c r="BA107" s="339"/>
      <c r="BB107" s="339"/>
      <c r="BC107" s="339">
        <f t="shared" si="51"/>
        <v>27.69</v>
      </c>
      <c r="BE107" s="339">
        <v>30.6</v>
      </c>
      <c r="BF107" s="339">
        <v>2.5499999999999998</v>
      </c>
      <c r="BG107" s="339"/>
      <c r="BH107" s="339" t="s">
        <v>747</v>
      </c>
      <c r="BI107" s="339">
        <f>K6+Q5*2</f>
        <v>12.399999999999999</v>
      </c>
      <c r="BJ107" s="339">
        <f t="shared" si="52"/>
        <v>65.63</v>
      </c>
      <c r="BL107" s="339"/>
      <c r="BM107" s="339"/>
      <c r="BN107" s="339"/>
      <c r="BO107" s="339"/>
      <c r="BP107" s="339"/>
      <c r="BQ107" s="339">
        <f t="shared" si="53"/>
        <v>0</v>
      </c>
      <c r="BS107" s="339"/>
      <c r="BT107" s="339"/>
      <c r="BU107" s="339"/>
      <c r="BV107" s="339"/>
      <c r="BW107" s="339"/>
      <c r="BX107" s="339">
        <f t="shared" si="54"/>
        <v>0</v>
      </c>
      <c r="BZ107" s="339"/>
      <c r="CA107" s="339"/>
      <c r="CB107" s="339"/>
      <c r="CC107" s="339"/>
      <c r="CD107" s="339"/>
      <c r="CE107" s="339">
        <f t="shared" si="55"/>
        <v>0</v>
      </c>
      <c r="CG107" s="339"/>
      <c r="CH107" s="339"/>
      <c r="CI107" s="339"/>
      <c r="CJ107" s="339"/>
      <c r="CK107" s="339"/>
      <c r="CL107" s="339">
        <f t="shared" si="56"/>
        <v>0</v>
      </c>
      <c r="CN107" s="339"/>
      <c r="CO107" s="339"/>
      <c r="CP107" s="339"/>
      <c r="CQ107" s="339"/>
      <c r="CR107" s="339"/>
      <c r="CS107" s="339">
        <f t="shared" si="57"/>
        <v>0</v>
      </c>
      <c r="CU107" s="339"/>
      <c r="CV107" s="339"/>
      <c r="CW107" s="339"/>
      <c r="CX107" s="339"/>
      <c r="CY107" s="339"/>
      <c r="CZ107" s="339">
        <f t="shared" si="58"/>
        <v>0</v>
      </c>
      <c r="DB107" s="339">
        <v>1.75</v>
      </c>
      <c r="DC107" s="339">
        <v>1</v>
      </c>
      <c r="DD107" s="339"/>
      <c r="DE107" s="339"/>
      <c r="DF107" s="339"/>
      <c r="DG107" s="339">
        <f t="shared" si="59"/>
        <v>1.75</v>
      </c>
      <c r="DI107" s="339"/>
      <c r="DJ107" s="339"/>
      <c r="DK107" s="339"/>
      <c r="DL107" s="339"/>
      <c r="DM107" s="339"/>
      <c r="DN107" s="339">
        <f t="shared" si="60"/>
        <v>0</v>
      </c>
    </row>
    <row r="108" spans="1:118">
      <c r="S108" s="412"/>
      <c r="T108" s="409"/>
      <c r="V108" s="339">
        <v>5.7</v>
      </c>
      <c r="W108" s="339">
        <v>2.9</v>
      </c>
      <c r="X108" s="339"/>
      <c r="Y108" s="339" t="s">
        <v>721</v>
      </c>
      <c r="Z108" s="339">
        <f>K6</f>
        <v>4.75</v>
      </c>
      <c r="AA108" s="339">
        <f t="shared" si="47"/>
        <v>11.780000000000001</v>
      </c>
      <c r="AC108" s="339">
        <v>3.7</v>
      </c>
      <c r="AD108" s="339">
        <v>3.35</v>
      </c>
      <c r="AE108" s="339"/>
      <c r="AF108" s="339" t="s">
        <v>716</v>
      </c>
      <c r="AG108" s="339">
        <f>K3</f>
        <v>2.25</v>
      </c>
      <c r="AH108" s="339">
        <f t="shared" si="48"/>
        <v>10.145000000000001</v>
      </c>
      <c r="AJ108" s="339"/>
      <c r="AK108" s="339"/>
      <c r="AL108" s="339"/>
      <c r="AM108" s="339"/>
      <c r="AN108" s="339"/>
      <c r="AO108" s="339">
        <f t="shared" si="49"/>
        <v>0</v>
      </c>
      <c r="AQ108" s="339"/>
      <c r="AR108" s="339"/>
      <c r="AS108" s="339"/>
      <c r="AT108" s="339"/>
      <c r="AU108" s="339"/>
      <c r="AV108" s="339">
        <f t="shared" si="50"/>
        <v>0</v>
      </c>
      <c r="AX108" s="339">
        <f>1.2*4</f>
        <v>4.8</v>
      </c>
      <c r="AY108" s="339">
        <v>3.55</v>
      </c>
      <c r="AZ108" s="339"/>
      <c r="BA108" s="339"/>
      <c r="BB108" s="339"/>
      <c r="BC108" s="339">
        <f t="shared" si="51"/>
        <v>17.04</v>
      </c>
      <c r="BE108" s="339">
        <v>37.299999999999997</v>
      </c>
      <c r="BF108" s="339">
        <v>2.5499999999999998</v>
      </c>
      <c r="BG108" s="339"/>
      <c r="BH108" s="339" t="s">
        <v>748</v>
      </c>
      <c r="BI108" s="339">
        <f>K4+Q5*4+Q11*2+K4</f>
        <v>25.299999999999997</v>
      </c>
      <c r="BJ108" s="339">
        <f t="shared" si="52"/>
        <v>69.814999999999984</v>
      </c>
      <c r="BL108" s="339"/>
      <c r="BM108" s="339"/>
      <c r="BN108" s="339"/>
      <c r="BO108" s="339"/>
      <c r="BP108" s="339"/>
      <c r="BQ108" s="339">
        <f t="shared" si="53"/>
        <v>0</v>
      </c>
      <c r="BS108" s="339"/>
      <c r="BT108" s="339"/>
      <c r="BU108" s="339"/>
      <c r="BV108" s="339"/>
      <c r="BW108" s="339"/>
      <c r="BX108" s="339">
        <f t="shared" si="54"/>
        <v>0</v>
      </c>
      <c r="BZ108" s="339"/>
      <c r="CA108" s="339"/>
      <c r="CB108" s="339"/>
      <c r="CC108" s="339"/>
      <c r="CD108" s="339"/>
      <c r="CE108" s="339">
        <f t="shared" si="55"/>
        <v>0</v>
      </c>
      <c r="CG108" s="339"/>
      <c r="CH108" s="339"/>
      <c r="CI108" s="339"/>
      <c r="CJ108" s="339"/>
      <c r="CK108" s="339"/>
      <c r="CL108" s="339">
        <f t="shared" si="56"/>
        <v>0</v>
      </c>
      <c r="CN108" s="339"/>
      <c r="CO108" s="339"/>
      <c r="CP108" s="339"/>
      <c r="CQ108" s="339"/>
      <c r="CR108" s="339"/>
      <c r="CS108" s="339">
        <f t="shared" si="57"/>
        <v>0</v>
      </c>
      <c r="CU108" s="339"/>
      <c r="CV108" s="339"/>
      <c r="CW108" s="339"/>
      <c r="CX108" s="339"/>
      <c r="CY108" s="339"/>
      <c r="CZ108" s="339">
        <f t="shared" si="58"/>
        <v>0</v>
      </c>
      <c r="DB108" s="339">
        <v>1.75</v>
      </c>
      <c r="DC108" s="339">
        <v>1</v>
      </c>
      <c r="DD108" s="339"/>
      <c r="DE108" s="339"/>
      <c r="DF108" s="339"/>
      <c r="DG108" s="339">
        <f t="shared" si="59"/>
        <v>1.75</v>
      </c>
      <c r="DI108" s="339"/>
      <c r="DJ108" s="339"/>
      <c r="DK108" s="339"/>
      <c r="DL108" s="339"/>
      <c r="DM108" s="339"/>
      <c r="DN108" s="339">
        <f t="shared" si="60"/>
        <v>0</v>
      </c>
    </row>
    <row r="109" spans="1:118">
      <c r="S109" s="412"/>
      <c r="T109" s="409"/>
      <c r="V109" s="339">
        <v>10</v>
      </c>
      <c r="W109" s="339">
        <v>2.9</v>
      </c>
      <c r="X109" s="339"/>
      <c r="Y109" s="339" t="s">
        <v>722</v>
      </c>
      <c r="Z109" s="339">
        <f>Q11+K4</f>
        <v>5</v>
      </c>
      <c r="AA109" s="339">
        <f t="shared" si="47"/>
        <v>24</v>
      </c>
      <c r="AC109" s="339">
        <v>1.825</v>
      </c>
      <c r="AD109" s="339">
        <v>3.4</v>
      </c>
      <c r="AE109" s="339"/>
      <c r="AF109" s="339"/>
      <c r="AG109" s="339"/>
      <c r="AH109" s="339">
        <f t="shared" si="48"/>
        <v>6.2050000000000001</v>
      </c>
      <c r="AJ109" s="339"/>
      <c r="AK109" s="339"/>
      <c r="AL109" s="339"/>
      <c r="AM109" s="339"/>
      <c r="AN109" s="339"/>
      <c r="AO109" s="339">
        <f t="shared" si="49"/>
        <v>0</v>
      </c>
      <c r="AQ109" s="339"/>
      <c r="AR109" s="339"/>
      <c r="AS109" s="339"/>
      <c r="AT109" s="339"/>
      <c r="AU109" s="339"/>
      <c r="AV109" s="339">
        <f t="shared" si="50"/>
        <v>0</v>
      </c>
      <c r="AX109" s="339"/>
      <c r="AY109" s="339"/>
      <c r="AZ109" s="339"/>
      <c r="BA109" s="339"/>
      <c r="BB109" s="339"/>
      <c r="BC109" s="339">
        <f t="shared" si="51"/>
        <v>0</v>
      </c>
      <c r="BE109" s="339">
        <v>46.35</v>
      </c>
      <c r="BF109" s="339">
        <v>2.5499999999999998</v>
      </c>
      <c r="BG109" s="339"/>
      <c r="BH109" s="339" t="s">
        <v>749</v>
      </c>
      <c r="BI109" s="339">
        <f>K6*2</f>
        <v>9.5</v>
      </c>
      <c r="BJ109" s="339">
        <f t="shared" si="52"/>
        <v>108.6925</v>
      </c>
      <c r="BL109" s="339"/>
      <c r="BM109" s="339"/>
      <c r="BN109" s="339"/>
      <c r="BO109" s="339"/>
      <c r="BP109" s="339"/>
      <c r="BQ109" s="339">
        <f t="shared" si="53"/>
        <v>0</v>
      </c>
      <c r="BS109" s="339"/>
      <c r="BT109" s="339"/>
      <c r="BU109" s="339"/>
      <c r="BV109" s="339"/>
      <c r="BW109" s="339"/>
      <c r="BX109" s="339">
        <f t="shared" si="54"/>
        <v>0</v>
      </c>
      <c r="BZ109" s="339"/>
      <c r="CA109" s="339"/>
      <c r="CB109" s="339"/>
      <c r="CC109" s="339"/>
      <c r="CD109" s="339"/>
      <c r="CE109" s="339">
        <f t="shared" si="55"/>
        <v>0</v>
      </c>
      <c r="CG109" s="339"/>
      <c r="CH109" s="339"/>
      <c r="CI109" s="339"/>
      <c r="CJ109" s="339"/>
      <c r="CK109" s="339"/>
      <c r="CL109" s="339">
        <f t="shared" si="56"/>
        <v>0</v>
      </c>
      <c r="CN109" s="339"/>
      <c r="CO109" s="339"/>
      <c r="CP109" s="339"/>
      <c r="CQ109" s="339"/>
      <c r="CR109" s="339"/>
      <c r="CS109" s="339">
        <f t="shared" si="57"/>
        <v>0</v>
      </c>
      <c r="CU109" s="339"/>
      <c r="CV109" s="339"/>
      <c r="CW109" s="339"/>
      <c r="CX109" s="339"/>
      <c r="CY109" s="339"/>
      <c r="CZ109" s="339">
        <f t="shared" si="58"/>
        <v>0</v>
      </c>
      <c r="DB109" s="339">
        <v>3.7</v>
      </c>
      <c r="DC109" s="339">
        <v>1</v>
      </c>
      <c r="DD109" s="339"/>
      <c r="DE109" s="339"/>
      <c r="DF109" s="339"/>
      <c r="DG109" s="339">
        <f t="shared" si="59"/>
        <v>3.7</v>
      </c>
      <c r="DI109" s="339"/>
      <c r="DJ109" s="339"/>
      <c r="DK109" s="339"/>
      <c r="DL109" s="339"/>
      <c r="DM109" s="339"/>
      <c r="DN109" s="339">
        <f t="shared" si="60"/>
        <v>0</v>
      </c>
    </row>
    <row r="110" spans="1:118">
      <c r="S110" s="412"/>
      <c r="T110" s="409"/>
      <c r="V110" s="339">
        <v>3.7</v>
      </c>
      <c r="W110" s="339">
        <v>2.9</v>
      </c>
      <c r="X110" s="339"/>
      <c r="Y110" s="339"/>
      <c r="Z110" s="339"/>
      <c r="AA110" s="339">
        <f t="shared" si="47"/>
        <v>10.73</v>
      </c>
      <c r="AC110" s="339">
        <v>0.9</v>
      </c>
      <c r="AD110" s="339">
        <v>3.4</v>
      </c>
      <c r="AE110" s="339"/>
      <c r="AF110" s="339"/>
      <c r="AG110" s="339"/>
      <c r="AH110" s="339">
        <f t="shared" si="48"/>
        <v>3.06</v>
      </c>
      <c r="AJ110" s="339"/>
      <c r="AK110" s="339"/>
      <c r="AL110" s="339"/>
      <c r="AM110" s="339"/>
      <c r="AN110" s="339"/>
      <c r="AO110" s="339">
        <f t="shared" si="49"/>
        <v>0</v>
      </c>
      <c r="AQ110" s="339"/>
      <c r="AR110" s="339"/>
      <c r="AS110" s="339"/>
      <c r="AT110" s="339"/>
      <c r="AU110" s="339"/>
      <c r="AV110" s="339">
        <f t="shared" si="50"/>
        <v>0</v>
      </c>
      <c r="AX110" s="339"/>
      <c r="AY110" s="339"/>
      <c r="AZ110" s="339"/>
      <c r="BA110" s="339"/>
      <c r="BB110" s="339"/>
      <c r="BC110" s="339">
        <f t="shared" si="51"/>
        <v>0</v>
      </c>
      <c r="BE110" s="339">
        <v>29.475000000000001</v>
      </c>
      <c r="BF110" s="339">
        <v>2.4</v>
      </c>
      <c r="BG110" s="339"/>
      <c r="BH110" s="339"/>
      <c r="BI110" s="339"/>
      <c r="BJ110" s="339">
        <f t="shared" si="52"/>
        <v>70.739999999999995</v>
      </c>
      <c r="BL110" s="339"/>
      <c r="BM110" s="339"/>
      <c r="BN110" s="339"/>
      <c r="BO110" s="339"/>
      <c r="BP110" s="339"/>
      <c r="BQ110" s="339">
        <f t="shared" si="53"/>
        <v>0</v>
      </c>
      <c r="BS110" s="339"/>
      <c r="BT110" s="339"/>
      <c r="BU110" s="339"/>
      <c r="BV110" s="339"/>
      <c r="BW110" s="339"/>
      <c r="BX110" s="339">
        <f t="shared" si="54"/>
        <v>0</v>
      </c>
      <c r="BZ110" s="339"/>
      <c r="CA110" s="339"/>
      <c r="CB110" s="339"/>
      <c r="CC110" s="339"/>
      <c r="CD110" s="339"/>
      <c r="CE110" s="339">
        <f t="shared" si="55"/>
        <v>0</v>
      </c>
      <c r="CG110" s="339"/>
      <c r="CH110" s="339"/>
      <c r="CI110" s="339"/>
      <c r="CJ110" s="339"/>
      <c r="CK110" s="339"/>
      <c r="CL110" s="339">
        <f t="shared" si="56"/>
        <v>0</v>
      </c>
      <c r="CN110" s="339"/>
      <c r="CO110" s="339"/>
      <c r="CP110" s="339"/>
      <c r="CQ110" s="339"/>
      <c r="CR110" s="339"/>
      <c r="CS110" s="339">
        <f t="shared" si="57"/>
        <v>0</v>
      </c>
      <c r="CU110" s="339"/>
      <c r="CV110" s="339"/>
      <c r="CW110" s="339"/>
      <c r="CX110" s="339"/>
      <c r="CY110" s="339"/>
      <c r="CZ110" s="339">
        <f t="shared" si="58"/>
        <v>0</v>
      </c>
      <c r="DB110" s="339">
        <v>5.7</v>
      </c>
      <c r="DC110" s="339">
        <v>1</v>
      </c>
      <c r="DD110" s="339"/>
      <c r="DE110" s="339"/>
      <c r="DF110" s="339"/>
      <c r="DG110" s="339">
        <f t="shared" si="59"/>
        <v>5.7</v>
      </c>
      <c r="DI110" s="339"/>
      <c r="DJ110" s="339"/>
      <c r="DK110" s="339"/>
      <c r="DL110" s="339"/>
      <c r="DM110" s="339"/>
      <c r="DN110" s="339">
        <f t="shared" si="60"/>
        <v>0</v>
      </c>
    </row>
    <row r="111" spans="1:118">
      <c r="S111" s="412"/>
      <c r="T111" s="409"/>
      <c r="V111" s="339">
        <v>3.7</v>
      </c>
      <c r="W111" s="339">
        <v>2.9</v>
      </c>
      <c r="X111" s="339"/>
      <c r="Y111" s="339"/>
      <c r="Z111" s="339"/>
      <c r="AA111" s="339">
        <f t="shared" si="47"/>
        <v>10.73</v>
      </c>
      <c r="AC111" s="339">
        <v>3.2</v>
      </c>
      <c r="AD111" s="339">
        <v>3.4</v>
      </c>
      <c r="AE111" s="339"/>
      <c r="AF111" s="339"/>
      <c r="AG111" s="339"/>
      <c r="AH111" s="339">
        <f t="shared" si="48"/>
        <v>10.88</v>
      </c>
      <c r="AJ111" s="339"/>
      <c r="AK111" s="339"/>
      <c r="AL111" s="339"/>
      <c r="AM111" s="339"/>
      <c r="AN111" s="339"/>
      <c r="AO111" s="339">
        <f t="shared" si="49"/>
        <v>0</v>
      </c>
      <c r="AQ111" s="339"/>
      <c r="AR111" s="339"/>
      <c r="AS111" s="339"/>
      <c r="AT111" s="339"/>
      <c r="AU111" s="339"/>
      <c r="AV111" s="339">
        <f t="shared" si="50"/>
        <v>0</v>
      </c>
      <c r="AX111" s="339"/>
      <c r="AY111" s="339"/>
      <c r="AZ111" s="339"/>
      <c r="BA111" s="339"/>
      <c r="BB111" s="339"/>
      <c r="BC111" s="339">
        <f t="shared" si="51"/>
        <v>0</v>
      </c>
      <c r="BE111" s="339">
        <v>28.274999999999999</v>
      </c>
      <c r="BF111" s="339">
        <v>3.1</v>
      </c>
      <c r="BG111" s="339"/>
      <c r="BH111" s="339" t="s">
        <v>750</v>
      </c>
      <c r="BI111" s="339">
        <f>Q1</f>
        <v>54.54</v>
      </c>
      <c r="BJ111" s="339">
        <f t="shared" si="52"/>
        <v>33.112500000000004</v>
      </c>
      <c r="BL111" s="339"/>
      <c r="BM111" s="339"/>
      <c r="BN111" s="339"/>
      <c r="BO111" s="339"/>
      <c r="BP111" s="339"/>
      <c r="BQ111" s="339">
        <f t="shared" si="53"/>
        <v>0</v>
      </c>
      <c r="BS111" s="339"/>
      <c r="BT111" s="339"/>
      <c r="BU111" s="339"/>
      <c r="BV111" s="339"/>
      <c r="BW111" s="339"/>
      <c r="BX111" s="339">
        <f t="shared" si="54"/>
        <v>0</v>
      </c>
      <c r="BZ111" s="339"/>
      <c r="CA111" s="339"/>
      <c r="CB111" s="339"/>
      <c r="CC111" s="339"/>
      <c r="CD111" s="339"/>
      <c r="CE111" s="339">
        <f t="shared" si="55"/>
        <v>0</v>
      </c>
      <c r="CG111" s="339"/>
      <c r="CH111" s="339"/>
      <c r="CI111" s="339"/>
      <c r="CJ111" s="339"/>
      <c r="CK111" s="339"/>
      <c r="CL111" s="339">
        <f t="shared" si="56"/>
        <v>0</v>
      </c>
      <c r="CN111" s="339"/>
      <c r="CO111" s="339"/>
      <c r="CP111" s="339"/>
      <c r="CQ111" s="339"/>
      <c r="CR111" s="339"/>
      <c r="CS111" s="339">
        <f t="shared" si="57"/>
        <v>0</v>
      </c>
      <c r="CU111" s="339"/>
      <c r="CV111" s="339"/>
      <c r="CW111" s="339"/>
      <c r="CX111" s="339"/>
      <c r="CY111" s="339"/>
      <c r="CZ111" s="339">
        <f t="shared" si="58"/>
        <v>0</v>
      </c>
      <c r="DB111" s="339">
        <v>1.7</v>
      </c>
      <c r="DC111" s="339">
        <v>1</v>
      </c>
      <c r="DD111" s="339"/>
      <c r="DE111" s="339"/>
      <c r="DF111" s="339"/>
      <c r="DG111" s="339">
        <f t="shared" si="59"/>
        <v>1.7</v>
      </c>
      <c r="DI111" s="339"/>
      <c r="DJ111" s="339"/>
      <c r="DK111" s="339"/>
      <c r="DL111" s="339"/>
      <c r="DM111" s="339"/>
      <c r="DN111" s="339">
        <f t="shared" si="60"/>
        <v>0</v>
      </c>
    </row>
    <row r="112" spans="1:118">
      <c r="S112" s="412"/>
      <c r="T112" s="409"/>
      <c r="V112" s="339">
        <v>3.7</v>
      </c>
      <c r="W112" s="339">
        <v>2.9</v>
      </c>
      <c r="X112" s="339"/>
      <c r="Y112" s="339"/>
      <c r="Z112" s="339"/>
      <c r="AA112" s="339">
        <f t="shared" si="47"/>
        <v>10.73</v>
      </c>
      <c r="AC112" s="339">
        <v>3.2</v>
      </c>
      <c r="AD112" s="339">
        <v>3.4</v>
      </c>
      <c r="AE112" s="339"/>
      <c r="AF112" s="339"/>
      <c r="AG112" s="339"/>
      <c r="AH112" s="339">
        <f t="shared" si="48"/>
        <v>10.88</v>
      </c>
      <c r="AJ112" s="339"/>
      <c r="AK112" s="339"/>
      <c r="AL112" s="339"/>
      <c r="AM112" s="339"/>
      <c r="AN112" s="339"/>
      <c r="AO112" s="339">
        <f t="shared" si="49"/>
        <v>0</v>
      </c>
      <c r="AQ112" s="339"/>
      <c r="AR112" s="339"/>
      <c r="AS112" s="339"/>
      <c r="AT112" s="339"/>
      <c r="AU112" s="339"/>
      <c r="AV112" s="339">
        <f t="shared" si="50"/>
        <v>0</v>
      </c>
      <c r="AX112" s="339"/>
      <c r="AY112" s="339"/>
      <c r="AZ112" s="339"/>
      <c r="BA112" s="339"/>
      <c r="BB112" s="339"/>
      <c r="BC112" s="339">
        <f t="shared" si="51"/>
        <v>0</v>
      </c>
      <c r="BE112" s="339">
        <v>1.6</v>
      </c>
      <c r="BF112" s="339">
        <v>3.1</v>
      </c>
      <c r="BG112" s="339"/>
      <c r="BH112" s="339"/>
      <c r="BI112" s="339"/>
      <c r="BJ112" s="339">
        <f t="shared" si="52"/>
        <v>4.9600000000000009</v>
      </c>
      <c r="BL112" s="339"/>
      <c r="BM112" s="339"/>
      <c r="BN112" s="339"/>
      <c r="BO112" s="339"/>
      <c r="BP112" s="339"/>
      <c r="BQ112" s="339">
        <f t="shared" si="53"/>
        <v>0</v>
      </c>
      <c r="BS112" s="339"/>
      <c r="BT112" s="339"/>
      <c r="BU112" s="339"/>
      <c r="BV112" s="339"/>
      <c r="BW112" s="339"/>
      <c r="BX112" s="339">
        <f t="shared" si="54"/>
        <v>0</v>
      </c>
      <c r="BZ112" s="339"/>
      <c r="CA112" s="339"/>
      <c r="CB112" s="339"/>
      <c r="CC112" s="339"/>
      <c r="CD112" s="339"/>
      <c r="CE112" s="339">
        <f t="shared" si="55"/>
        <v>0</v>
      </c>
      <c r="CG112" s="339"/>
      <c r="CH112" s="339"/>
      <c r="CI112" s="339"/>
      <c r="CJ112" s="339"/>
      <c r="CK112" s="339"/>
      <c r="CL112" s="339">
        <f t="shared" si="56"/>
        <v>0</v>
      </c>
      <c r="CN112" s="339"/>
      <c r="CO112" s="339"/>
      <c r="CP112" s="339"/>
      <c r="CQ112" s="339"/>
      <c r="CR112" s="339"/>
      <c r="CS112" s="339">
        <f t="shared" si="57"/>
        <v>0</v>
      </c>
      <c r="CU112" s="339"/>
      <c r="CV112" s="339"/>
      <c r="CW112" s="339"/>
      <c r="CX112" s="339"/>
      <c r="CY112" s="339"/>
      <c r="CZ112" s="339">
        <f t="shared" si="58"/>
        <v>0</v>
      </c>
      <c r="DB112" s="339">
        <v>1.7</v>
      </c>
      <c r="DC112" s="339">
        <v>1</v>
      </c>
      <c r="DD112" s="339"/>
      <c r="DE112" s="339"/>
      <c r="DF112" s="339"/>
      <c r="DG112" s="339">
        <f t="shared" si="59"/>
        <v>1.7</v>
      </c>
      <c r="DI112" s="339"/>
      <c r="DJ112" s="339"/>
      <c r="DK112" s="339"/>
      <c r="DL112" s="339"/>
      <c r="DM112" s="339"/>
      <c r="DN112" s="339">
        <f t="shared" si="60"/>
        <v>0</v>
      </c>
    </row>
    <row r="113" spans="19:118">
      <c r="S113" s="412"/>
      <c r="T113" s="409"/>
      <c r="V113" s="339">
        <v>3.7</v>
      </c>
      <c r="W113" s="339">
        <v>2.9</v>
      </c>
      <c r="X113" s="339"/>
      <c r="Y113" s="339"/>
      <c r="Z113" s="339"/>
      <c r="AA113" s="339">
        <f t="shared" si="47"/>
        <v>10.73</v>
      </c>
      <c r="AC113" s="339">
        <v>0.4</v>
      </c>
      <c r="AD113" s="339">
        <v>3.4</v>
      </c>
      <c r="AE113" s="339"/>
      <c r="AF113" s="339"/>
      <c r="AG113" s="339"/>
      <c r="AH113" s="339">
        <f t="shared" si="48"/>
        <v>1.36</v>
      </c>
      <c r="AJ113" s="339"/>
      <c r="AK113" s="339"/>
      <c r="AL113" s="339"/>
      <c r="AM113" s="339"/>
      <c r="AN113" s="339"/>
      <c r="AO113" s="339">
        <f t="shared" si="49"/>
        <v>0</v>
      </c>
      <c r="AQ113" s="339"/>
      <c r="AR113" s="339"/>
      <c r="AS113" s="339"/>
      <c r="AT113" s="339"/>
      <c r="AU113" s="339"/>
      <c r="AV113" s="339">
        <f t="shared" si="50"/>
        <v>0</v>
      </c>
      <c r="AX113" s="339"/>
      <c r="AY113" s="339"/>
      <c r="AZ113" s="339"/>
      <c r="BA113" s="339"/>
      <c r="BB113" s="339"/>
      <c r="BC113" s="339">
        <f t="shared" si="51"/>
        <v>0</v>
      </c>
      <c r="BE113" s="339">
        <v>1.3</v>
      </c>
      <c r="BF113" s="339">
        <v>3.1</v>
      </c>
      <c r="BG113" s="339"/>
      <c r="BH113" s="339"/>
      <c r="BI113" s="339"/>
      <c r="BJ113" s="339">
        <f t="shared" si="52"/>
        <v>4.03</v>
      </c>
      <c r="BL113" s="339"/>
      <c r="BM113" s="339"/>
      <c r="BN113" s="339"/>
      <c r="BO113" s="339"/>
      <c r="BP113" s="339"/>
      <c r="BQ113" s="339">
        <f t="shared" si="53"/>
        <v>0</v>
      </c>
      <c r="BS113" s="339"/>
      <c r="BT113" s="339"/>
      <c r="BU113" s="339"/>
      <c r="BV113" s="339"/>
      <c r="BW113" s="339"/>
      <c r="BX113" s="339">
        <f t="shared" si="54"/>
        <v>0</v>
      </c>
      <c r="BZ113" s="339"/>
      <c r="CA113" s="339"/>
      <c r="CB113" s="339"/>
      <c r="CC113" s="339"/>
      <c r="CD113" s="339"/>
      <c r="CE113" s="339">
        <f t="shared" si="55"/>
        <v>0</v>
      </c>
      <c r="CG113" s="339"/>
      <c r="CH113" s="339"/>
      <c r="CI113" s="339"/>
      <c r="CJ113" s="339"/>
      <c r="CK113" s="339"/>
      <c r="CL113" s="339">
        <f t="shared" si="56"/>
        <v>0</v>
      </c>
      <c r="CN113" s="339"/>
      <c r="CO113" s="339"/>
      <c r="CP113" s="339"/>
      <c r="CQ113" s="339"/>
      <c r="CR113" s="339"/>
      <c r="CS113" s="339">
        <f t="shared" si="57"/>
        <v>0</v>
      </c>
      <c r="CU113" s="339"/>
      <c r="CV113" s="339"/>
      <c r="CW113" s="339"/>
      <c r="CX113" s="339"/>
      <c r="CY113" s="339"/>
      <c r="CZ113" s="339">
        <f t="shared" si="58"/>
        <v>0</v>
      </c>
      <c r="DB113" s="339">
        <v>3.7</v>
      </c>
      <c r="DC113" s="339">
        <v>1</v>
      </c>
      <c r="DD113" s="339"/>
      <c r="DE113" s="339"/>
      <c r="DF113" s="339"/>
      <c r="DG113" s="339">
        <f t="shared" si="59"/>
        <v>3.7</v>
      </c>
      <c r="DI113" s="339"/>
      <c r="DJ113" s="339"/>
      <c r="DK113" s="339"/>
      <c r="DL113" s="339"/>
      <c r="DM113" s="339"/>
      <c r="DN113" s="339">
        <f t="shared" si="60"/>
        <v>0</v>
      </c>
    </row>
    <row r="114" spans="19:118">
      <c r="S114" s="412"/>
      <c r="T114" s="409"/>
      <c r="V114" s="339">
        <v>3.7</v>
      </c>
      <c r="W114" s="339">
        <v>2.9</v>
      </c>
      <c r="X114" s="339"/>
      <c r="Y114" s="339"/>
      <c r="Z114" s="339"/>
      <c r="AA114" s="339">
        <f t="shared" si="47"/>
        <v>10.73</v>
      </c>
      <c r="AC114" s="339">
        <v>3.2749999999999999</v>
      </c>
      <c r="AD114" s="339">
        <v>3.35</v>
      </c>
      <c r="AE114" s="339"/>
      <c r="AF114" s="339" t="s">
        <v>716</v>
      </c>
      <c r="AG114" s="339">
        <f>K3</f>
        <v>2.25</v>
      </c>
      <c r="AH114" s="339">
        <f t="shared" si="48"/>
        <v>8.7212499999999995</v>
      </c>
      <c r="AJ114" s="339"/>
      <c r="AK114" s="339"/>
      <c r="AL114" s="339"/>
      <c r="AM114" s="339"/>
      <c r="AN114" s="339"/>
      <c r="AO114" s="339">
        <f t="shared" si="49"/>
        <v>0</v>
      </c>
      <c r="AQ114" s="339"/>
      <c r="AR114" s="339"/>
      <c r="AS114" s="339"/>
      <c r="AT114" s="339"/>
      <c r="AU114" s="339"/>
      <c r="AV114" s="339">
        <f t="shared" si="50"/>
        <v>0</v>
      </c>
      <c r="AX114" s="339"/>
      <c r="AY114" s="339"/>
      <c r="AZ114" s="339"/>
      <c r="BA114" s="339"/>
      <c r="BB114" s="339"/>
      <c r="BC114" s="339">
        <f t="shared" si="51"/>
        <v>0</v>
      </c>
      <c r="BE114" s="339"/>
      <c r="BF114" s="339"/>
      <c r="BG114" s="339"/>
      <c r="BH114" s="339"/>
      <c r="BI114" s="339"/>
      <c r="BJ114" s="339">
        <f t="shared" si="52"/>
        <v>0</v>
      </c>
      <c r="BL114" s="339"/>
      <c r="BM114" s="339"/>
      <c r="BN114" s="339"/>
      <c r="BO114" s="339"/>
      <c r="BP114" s="339"/>
      <c r="BQ114" s="339">
        <f t="shared" si="53"/>
        <v>0</v>
      </c>
      <c r="BS114" s="339"/>
      <c r="BT114" s="339"/>
      <c r="BU114" s="339"/>
      <c r="BV114" s="339"/>
      <c r="BW114" s="339"/>
      <c r="BX114" s="339">
        <f t="shared" si="54"/>
        <v>0</v>
      </c>
      <c r="BZ114" s="339"/>
      <c r="CA114" s="339"/>
      <c r="CB114" s="339"/>
      <c r="CC114" s="339"/>
      <c r="CD114" s="339"/>
      <c r="CE114" s="339">
        <f t="shared" si="55"/>
        <v>0</v>
      </c>
      <c r="CG114" s="339"/>
      <c r="CH114" s="339"/>
      <c r="CI114" s="339"/>
      <c r="CJ114" s="339"/>
      <c r="CK114" s="339"/>
      <c r="CL114" s="339">
        <f t="shared" si="56"/>
        <v>0</v>
      </c>
      <c r="CN114" s="339"/>
      <c r="CO114" s="339"/>
      <c r="CP114" s="339"/>
      <c r="CQ114" s="339"/>
      <c r="CR114" s="339"/>
      <c r="CS114" s="339">
        <f t="shared" si="57"/>
        <v>0</v>
      </c>
      <c r="CU114" s="339"/>
      <c r="CV114" s="339"/>
      <c r="CW114" s="339"/>
      <c r="CX114" s="339"/>
      <c r="CY114" s="339"/>
      <c r="CZ114" s="339">
        <f t="shared" si="58"/>
        <v>0</v>
      </c>
      <c r="DB114" s="339">
        <v>3.7</v>
      </c>
      <c r="DC114" s="339">
        <v>1</v>
      </c>
      <c r="DD114" s="339"/>
      <c r="DE114" s="339"/>
      <c r="DF114" s="339"/>
      <c r="DG114" s="339">
        <f t="shared" si="59"/>
        <v>3.7</v>
      </c>
      <c r="DI114" s="339"/>
      <c r="DJ114" s="339"/>
      <c r="DK114" s="339"/>
      <c r="DL114" s="339"/>
      <c r="DM114" s="339"/>
      <c r="DN114" s="339">
        <f t="shared" si="60"/>
        <v>0</v>
      </c>
    </row>
    <row r="115" spans="19:118">
      <c r="S115" s="412"/>
      <c r="T115" s="409"/>
      <c r="V115" s="339">
        <v>3.7</v>
      </c>
      <c r="W115" s="339">
        <v>2.9</v>
      </c>
      <c r="X115" s="339"/>
      <c r="Y115" s="339" t="s">
        <v>721</v>
      </c>
      <c r="Z115" s="339">
        <f>K6</f>
        <v>4.75</v>
      </c>
      <c r="AA115" s="339">
        <f t="shared" si="47"/>
        <v>5.98</v>
      </c>
      <c r="AC115" s="339">
        <v>3.95</v>
      </c>
      <c r="AD115" s="339">
        <v>3.4</v>
      </c>
      <c r="AE115" s="339"/>
      <c r="AF115" s="339" t="s">
        <v>717</v>
      </c>
      <c r="AG115" s="339">
        <f>K15</f>
        <v>1.665</v>
      </c>
      <c r="AH115" s="339">
        <f t="shared" si="48"/>
        <v>11.765000000000001</v>
      </c>
      <c r="AJ115" s="339"/>
      <c r="AK115" s="339"/>
      <c r="AL115" s="339"/>
      <c r="AM115" s="339"/>
      <c r="AN115" s="339"/>
      <c r="AO115" s="339">
        <f t="shared" si="49"/>
        <v>0</v>
      </c>
      <c r="AQ115" s="339"/>
      <c r="AR115" s="339"/>
      <c r="AS115" s="339"/>
      <c r="AT115" s="339"/>
      <c r="AU115" s="339"/>
      <c r="AV115" s="339">
        <f t="shared" si="50"/>
        <v>0</v>
      </c>
      <c r="AX115" s="339"/>
      <c r="AY115" s="339"/>
      <c r="AZ115" s="339"/>
      <c r="BA115" s="339"/>
      <c r="BB115" s="339"/>
      <c r="BC115" s="339">
        <f t="shared" si="51"/>
        <v>0</v>
      </c>
      <c r="BE115" s="339"/>
      <c r="BF115" s="339"/>
      <c r="BG115" s="339"/>
      <c r="BH115" s="339"/>
      <c r="BI115" s="339"/>
      <c r="BJ115" s="339">
        <f t="shared" si="52"/>
        <v>0</v>
      </c>
      <c r="BL115" s="339"/>
      <c r="BM115" s="339"/>
      <c r="BN115" s="339"/>
      <c r="BO115" s="339"/>
      <c r="BP115" s="339"/>
      <c r="BQ115" s="339">
        <f t="shared" si="53"/>
        <v>0</v>
      </c>
      <c r="BS115" s="339"/>
      <c r="BT115" s="339"/>
      <c r="BU115" s="339"/>
      <c r="BV115" s="339"/>
      <c r="BW115" s="339"/>
      <c r="BX115" s="339">
        <f t="shared" si="54"/>
        <v>0</v>
      </c>
      <c r="BZ115" s="339"/>
      <c r="CA115" s="339"/>
      <c r="CB115" s="339"/>
      <c r="CC115" s="339"/>
      <c r="CD115" s="339"/>
      <c r="CE115" s="339">
        <f t="shared" si="55"/>
        <v>0</v>
      </c>
      <c r="CG115" s="339"/>
      <c r="CH115" s="339"/>
      <c r="CI115" s="339"/>
      <c r="CJ115" s="339"/>
      <c r="CK115" s="339"/>
      <c r="CL115" s="339">
        <f t="shared" si="56"/>
        <v>0</v>
      </c>
      <c r="CN115" s="339"/>
      <c r="CO115" s="339"/>
      <c r="CP115" s="339"/>
      <c r="CQ115" s="339"/>
      <c r="CR115" s="339"/>
      <c r="CS115" s="339">
        <f t="shared" si="57"/>
        <v>0</v>
      </c>
      <c r="CU115" s="339"/>
      <c r="CV115" s="339"/>
      <c r="CW115" s="339"/>
      <c r="CX115" s="339"/>
      <c r="CY115" s="339"/>
      <c r="CZ115" s="339">
        <f t="shared" si="58"/>
        <v>0</v>
      </c>
      <c r="DB115" s="339">
        <v>1.75</v>
      </c>
      <c r="DC115" s="339">
        <v>1</v>
      </c>
      <c r="DD115" s="339"/>
      <c r="DE115" s="339"/>
      <c r="DF115" s="339"/>
      <c r="DG115" s="339">
        <f t="shared" si="59"/>
        <v>1.75</v>
      </c>
      <c r="DI115" s="339"/>
      <c r="DJ115" s="339"/>
      <c r="DK115" s="339"/>
      <c r="DL115" s="339"/>
      <c r="DM115" s="339"/>
      <c r="DN115" s="339">
        <f t="shared" si="60"/>
        <v>0</v>
      </c>
    </row>
    <row r="116" spans="19:118">
      <c r="S116" s="412"/>
      <c r="T116" s="409"/>
      <c r="V116" s="339">
        <v>8.1</v>
      </c>
      <c r="W116" s="339">
        <v>2.9</v>
      </c>
      <c r="X116" s="339"/>
      <c r="Y116" s="339"/>
      <c r="Z116" s="339"/>
      <c r="AA116" s="339">
        <f t="shared" si="47"/>
        <v>23.49</v>
      </c>
      <c r="AC116" s="339">
        <v>3.2</v>
      </c>
      <c r="AD116" s="339">
        <v>3.4</v>
      </c>
      <c r="AE116" s="339"/>
      <c r="AF116" s="339" t="s">
        <v>718</v>
      </c>
      <c r="AG116" s="339">
        <f>Q4</f>
        <v>1</v>
      </c>
      <c r="AH116" s="339">
        <f t="shared" si="48"/>
        <v>9.8800000000000008</v>
      </c>
      <c r="AJ116" s="339"/>
      <c r="AK116" s="339"/>
      <c r="AL116" s="339"/>
      <c r="AM116" s="339"/>
      <c r="AN116" s="339"/>
      <c r="AO116" s="339">
        <f t="shared" si="49"/>
        <v>0</v>
      </c>
      <c r="AQ116" s="339"/>
      <c r="AR116" s="339"/>
      <c r="AS116" s="339"/>
      <c r="AT116" s="339"/>
      <c r="AU116" s="339"/>
      <c r="AV116" s="339">
        <f t="shared" si="50"/>
        <v>0</v>
      </c>
      <c r="AX116" s="339"/>
      <c r="AY116" s="339"/>
      <c r="AZ116" s="339"/>
      <c r="BA116" s="339"/>
      <c r="BB116" s="339"/>
      <c r="BC116" s="339">
        <f t="shared" si="51"/>
        <v>0</v>
      </c>
      <c r="BE116" s="339"/>
      <c r="BF116" s="339"/>
      <c r="BG116" s="339"/>
      <c r="BH116" s="339"/>
      <c r="BI116" s="339"/>
      <c r="BJ116" s="339">
        <f t="shared" si="52"/>
        <v>0</v>
      </c>
      <c r="BL116" s="339"/>
      <c r="BM116" s="339"/>
      <c r="BN116" s="339"/>
      <c r="BO116" s="339"/>
      <c r="BP116" s="339"/>
      <c r="BQ116" s="339">
        <f t="shared" si="53"/>
        <v>0</v>
      </c>
      <c r="BS116" s="339"/>
      <c r="BT116" s="339"/>
      <c r="BU116" s="339"/>
      <c r="BV116" s="339"/>
      <c r="BW116" s="339"/>
      <c r="BX116" s="339">
        <f t="shared" si="54"/>
        <v>0</v>
      </c>
      <c r="BZ116" s="339"/>
      <c r="CA116" s="339"/>
      <c r="CB116" s="339"/>
      <c r="CC116" s="339"/>
      <c r="CD116" s="339"/>
      <c r="CE116" s="339">
        <f t="shared" si="55"/>
        <v>0</v>
      </c>
      <c r="CG116" s="339"/>
      <c r="CH116" s="339"/>
      <c r="CI116" s="339"/>
      <c r="CJ116" s="339"/>
      <c r="CK116" s="339"/>
      <c r="CL116" s="339">
        <f t="shared" si="56"/>
        <v>0</v>
      </c>
      <c r="CN116" s="339"/>
      <c r="CO116" s="339"/>
      <c r="CP116" s="339"/>
      <c r="CQ116" s="339"/>
      <c r="CR116" s="339"/>
      <c r="CS116" s="339">
        <f t="shared" si="57"/>
        <v>0</v>
      </c>
      <c r="CU116" s="339"/>
      <c r="CV116" s="339"/>
      <c r="CW116" s="339"/>
      <c r="CX116" s="339"/>
      <c r="CY116" s="339"/>
      <c r="CZ116" s="339">
        <f t="shared" si="58"/>
        <v>0</v>
      </c>
      <c r="DB116" s="339">
        <v>1.75</v>
      </c>
      <c r="DC116" s="339">
        <v>1</v>
      </c>
      <c r="DD116" s="339"/>
      <c r="DE116" s="339"/>
      <c r="DF116" s="339"/>
      <c r="DG116" s="339">
        <f t="shared" si="59"/>
        <v>1.75</v>
      </c>
      <c r="DI116" s="339"/>
      <c r="DJ116" s="339"/>
      <c r="DK116" s="339"/>
      <c r="DL116" s="339"/>
      <c r="DM116" s="339"/>
      <c r="DN116" s="339">
        <f t="shared" si="60"/>
        <v>0</v>
      </c>
    </row>
    <row r="117" spans="19:118">
      <c r="S117" s="412"/>
      <c r="T117" s="409"/>
      <c r="V117" s="339">
        <v>3.7</v>
      </c>
      <c r="W117" s="339">
        <v>2.9</v>
      </c>
      <c r="X117" s="339"/>
      <c r="Y117" s="339" t="s">
        <v>720</v>
      </c>
      <c r="Z117" s="339">
        <f>Q5</f>
        <v>3.8249999999999997</v>
      </c>
      <c r="AA117" s="339">
        <f t="shared" si="47"/>
        <v>6.9050000000000011</v>
      </c>
      <c r="AC117" s="339">
        <v>4.2750000000000004</v>
      </c>
      <c r="AD117" s="339">
        <v>3.4</v>
      </c>
      <c r="AE117" s="339"/>
      <c r="AF117" s="339" t="s">
        <v>719</v>
      </c>
      <c r="AG117" s="339">
        <f>Q3</f>
        <v>0.67500000000000004</v>
      </c>
      <c r="AH117" s="339">
        <f t="shared" si="48"/>
        <v>13.86</v>
      </c>
      <c r="AJ117" s="339"/>
      <c r="AK117" s="339"/>
      <c r="AL117" s="339"/>
      <c r="AM117" s="339"/>
      <c r="AN117" s="339"/>
      <c r="AO117" s="339">
        <f t="shared" si="49"/>
        <v>0</v>
      </c>
      <c r="AQ117" s="339"/>
      <c r="AR117" s="339"/>
      <c r="AS117" s="339"/>
      <c r="AT117" s="339"/>
      <c r="AU117" s="339"/>
      <c r="AV117" s="339">
        <f t="shared" si="50"/>
        <v>0</v>
      </c>
      <c r="AX117" s="339"/>
      <c r="AY117" s="339"/>
      <c r="AZ117" s="339"/>
      <c r="BA117" s="339"/>
      <c r="BB117" s="339"/>
      <c r="BC117" s="339">
        <f t="shared" si="51"/>
        <v>0</v>
      </c>
      <c r="BE117" s="339"/>
      <c r="BF117" s="339"/>
      <c r="BG117" s="339"/>
      <c r="BH117" s="339"/>
      <c r="BI117" s="339"/>
      <c r="BJ117" s="339">
        <f t="shared" si="52"/>
        <v>0</v>
      </c>
      <c r="BL117" s="339"/>
      <c r="BM117" s="339"/>
      <c r="BN117" s="339"/>
      <c r="BO117" s="339"/>
      <c r="BP117" s="339"/>
      <c r="BQ117" s="339">
        <f t="shared" si="53"/>
        <v>0</v>
      </c>
      <c r="BS117" s="339"/>
      <c r="BT117" s="339"/>
      <c r="BU117" s="339"/>
      <c r="BV117" s="339"/>
      <c r="BW117" s="339"/>
      <c r="BX117" s="339">
        <f t="shared" si="54"/>
        <v>0</v>
      </c>
      <c r="BZ117" s="339"/>
      <c r="CA117" s="339"/>
      <c r="CB117" s="339"/>
      <c r="CC117" s="339"/>
      <c r="CD117" s="339"/>
      <c r="CE117" s="339">
        <f t="shared" si="55"/>
        <v>0</v>
      </c>
      <c r="CG117" s="339"/>
      <c r="CH117" s="339"/>
      <c r="CI117" s="339"/>
      <c r="CJ117" s="339"/>
      <c r="CK117" s="339"/>
      <c r="CL117" s="339">
        <f t="shared" si="56"/>
        <v>0</v>
      </c>
      <c r="CN117" s="339"/>
      <c r="CO117" s="339"/>
      <c r="CP117" s="339"/>
      <c r="CQ117" s="339"/>
      <c r="CR117" s="339"/>
      <c r="CS117" s="339">
        <f t="shared" si="57"/>
        <v>0</v>
      </c>
      <c r="CU117" s="339"/>
      <c r="CV117" s="339"/>
      <c r="CW117" s="339"/>
      <c r="CX117" s="339"/>
      <c r="CY117" s="339"/>
      <c r="CZ117" s="339">
        <f t="shared" si="58"/>
        <v>0</v>
      </c>
      <c r="DB117" s="339">
        <v>3.7</v>
      </c>
      <c r="DC117" s="339">
        <v>1</v>
      </c>
      <c r="DD117" s="339"/>
      <c r="DE117" s="339"/>
      <c r="DF117" s="339"/>
      <c r="DG117" s="339">
        <f t="shared" si="59"/>
        <v>3.7</v>
      </c>
      <c r="DI117" s="339"/>
      <c r="DJ117" s="339"/>
      <c r="DK117" s="339"/>
      <c r="DL117" s="339"/>
      <c r="DM117" s="339"/>
      <c r="DN117" s="339">
        <f t="shared" si="60"/>
        <v>0</v>
      </c>
    </row>
    <row r="118" spans="19:118">
      <c r="S118" s="412"/>
      <c r="T118" s="409"/>
      <c r="V118" s="339">
        <v>3.2</v>
      </c>
      <c r="W118" s="339">
        <v>2.9</v>
      </c>
      <c r="X118" s="339"/>
      <c r="Y118" s="339" t="s">
        <v>720</v>
      </c>
      <c r="Z118" s="339">
        <f>Q5</f>
        <v>3.8249999999999997</v>
      </c>
      <c r="AA118" s="339">
        <f t="shared" si="47"/>
        <v>5.4550000000000001</v>
      </c>
      <c r="AC118" s="339">
        <v>3.7</v>
      </c>
      <c r="AD118" s="339">
        <v>3</v>
      </c>
      <c r="AE118" s="339"/>
      <c r="AF118" s="339"/>
      <c r="AG118" s="339"/>
      <c r="AH118" s="339">
        <f t="shared" si="48"/>
        <v>11.100000000000001</v>
      </c>
      <c r="AJ118" s="339"/>
      <c r="AK118" s="339"/>
      <c r="AL118" s="339"/>
      <c r="AM118" s="339"/>
      <c r="AN118" s="339"/>
      <c r="AO118" s="339">
        <f t="shared" si="49"/>
        <v>0</v>
      </c>
      <c r="AQ118" s="339"/>
      <c r="AR118" s="339"/>
      <c r="AS118" s="339"/>
      <c r="AT118" s="339"/>
      <c r="AU118" s="339"/>
      <c r="AV118" s="339">
        <f t="shared" si="50"/>
        <v>0</v>
      </c>
      <c r="AX118" s="339"/>
      <c r="AY118" s="339"/>
      <c r="AZ118" s="339"/>
      <c r="BA118" s="339"/>
      <c r="BB118" s="339"/>
      <c r="BC118" s="339">
        <f t="shared" si="51"/>
        <v>0</v>
      </c>
      <c r="BE118" s="339"/>
      <c r="BF118" s="339"/>
      <c r="BG118" s="339"/>
      <c r="BH118" s="339"/>
      <c r="BI118" s="339"/>
      <c r="BJ118" s="339">
        <f t="shared" si="52"/>
        <v>0</v>
      </c>
      <c r="BL118" s="339"/>
      <c r="BM118" s="339"/>
      <c r="BN118" s="339"/>
      <c r="BO118" s="339"/>
      <c r="BP118" s="339"/>
      <c r="BQ118" s="339">
        <f t="shared" si="53"/>
        <v>0</v>
      </c>
      <c r="BS118" s="339"/>
      <c r="BT118" s="339"/>
      <c r="BU118" s="339"/>
      <c r="BV118" s="339"/>
      <c r="BW118" s="339"/>
      <c r="BX118" s="339">
        <f t="shared" si="54"/>
        <v>0</v>
      </c>
      <c r="BZ118" s="339"/>
      <c r="CA118" s="339"/>
      <c r="CB118" s="339"/>
      <c r="CC118" s="339"/>
      <c r="CD118" s="339"/>
      <c r="CE118" s="339">
        <f t="shared" si="55"/>
        <v>0</v>
      </c>
      <c r="CG118" s="339"/>
      <c r="CH118" s="339"/>
      <c r="CI118" s="339"/>
      <c r="CJ118" s="339"/>
      <c r="CK118" s="339"/>
      <c r="CL118" s="339">
        <f t="shared" si="56"/>
        <v>0</v>
      </c>
      <c r="CN118" s="339"/>
      <c r="CO118" s="339"/>
      <c r="CP118" s="339"/>
      <c r="CQ118" s="339"/>
      <c r="CR118" s="339"/>
      <c r="CS118" s="339">
        <f t="shared" si="57"/>
        <v>0</v>
      </c>
      <c r="CU118" s="339"/>
      <c r="CV118" s="339"/>
      <c r="CW118" s="339"/>
      <c r="CX118" s="339"/>
      <c r="CY118" s="339"/>
      <c r="CZ118" s="339">
        <f t="shared" si="58"/>
        <v>0</v>
      </c>
      <c r="DB118" s="339">
        <v>19.149999999999999</v>
      </c>
      <c r="DC118" s="339">
        <v>3.55</v>
      </c>
      <c r="DD118" s="339"/>
      <c r="DE118" s="339"/>
      <c r="DF118" s="339"/>
      <c r="DG118" s="339">
        <f t="shared" si="59"/>
        <v>67.982499999999987</v>
      </c>
      <c r="DI118" s="339"/>
      <c r="DJ118" s="339"/>
      <c r="DK118" s="339"/>
      <c r="DL118" s="339"/>
      <c r="DM118" s="339"/>
      <c r="DN118" s="339">
        <f t="shared" si="60"/>
        <v>0</v>
      </c>
    </row>
    <row r="119" spans="19:118">
      <c r="S119" s="412"/>
      <c r="T119" s="409"/>
      <c r="V119" s="339">
        <v>3.7</v>
      </c>
      <c r="W119" s="339">
        <v>2.9</v>
      </c>
      <c r="X119" s="339"/>
      <c r="Y119" s="339" t="s">
        <v>720</v>
      </c>
      <c r="Z119" s="339">
        <f>Q5</f>
        <v>3.8249999999999997</v>
      </c>
      <c r="AA119" s="339">
        <f t="shared" si="47"/>
        <v>6.9050000000000011</v>
      </c>
      <c r="AC119" s="339">
        <v>3.7</v>
      </c>
      <c r="AD119" s="339">
        <v>3</v>
      </c>
      <c r="AE119" s="339"/>
      <c r="AF119" s="339"/>
      <c r="AG119" s="339"/>
      <c r="AH119" s="339">
        <f t="shared" si="48"/>
        <v>11.100000000000001</v>
      </c>
      <c r="AJ119" s="339"/>
      <c r="AK119" s="339"/>
      <c r="AL119" s="339"/>
      <c r="AM119" s="339"/>
      <c r="AN119" s="339"/>
      <c r="AO119" s="339">
        <f t="shared" si="49"/>
        <v>0</v>
      </c>
      <c r="AQ119" s="339"/>
      <c r="AR119" s="339"/>
      <c r="AS119" s="339"/>
      <c r="AT119" s="339"/>
      <c r="AU119" s="339"/>
      <c r="AV119" s="339">
        <f t="shared" si="50"/>
        <v>0</v>
      </c>
      <c r="AX119" s="339"/>
      <c r="AY119" s="339"/>
      <c r="AZ119" s="339"/>
      <c r="BA119" s="339"/>
      <c r="BB119" s="339"/>
      <c r="BC119" s="339">
        <f t="shared" si="51"/>
        <v>0</v>
      </c>
      <c r="BE119" s="339"/>
      <c r="BF119" s="339"/>
      <c r="BG119" s="339"/>
      <c r="BH119" s="339"/>
      <c r="BI119" s="339"/>
      <c r="BJ119" s="339">
        <f t="shared" si="52"/>
        <v>0</v>
      </c>
      <c r="BL119" s="339"/>
      <c r="BM119" s="339"/>
      <c r="BN119" s="339"/>
      <c r="BO119" s="339"/>
      <c r="BP119" s="339"/>
      <c r="BQ119" s="339">
        <f t="shared" si="53"/>
        <v>0</v>
      </c>
      <c r="BS119" s="339"/>
      <c r="BT119" s="339"/>
      <c r="BU119" s="339"/>
      <c r="BV119" s="339"/>
      <c r="BW119" s="339"/>
      <c r="BX119" s="339">
        <f t="shared" si="54"/>
        <v>0</v>
      </c>
      <c r="BZ119" s="339"/>
      <c r="CA119" s="339"/>
      <c r="CB119" s="339"/>
      <c r="CC119" s="339"/>
      <c r="CD119" s="339"/>
      <c r="CE119" s="339">
        <f t="shared" si="55"/>
        <v>0</v>
      </c>
      <c r="CG119" s="339"/>
      <c r="CH119" s="339"/>
      <c r="CI119" s="339"/>
      <c r="CJ119" s="339"/>
      <c r="CK119" s="339"/>
      <c r="CL119" s="339">
        <f t="shared" si="56"/>
        <v>0</v>
      </c>
      <c r="CN119" s="339"/>
      <c r="CO119" s="339"/>
      <c r="CP119" s="339"/>
      <c r="CQ119" s="339"/>
      <c r="CR119" s="339"/>
      <c r="CS119" s="339">
        <f t="shared" si="57"/>
        <v>0</v>
      </c>
      <c r="CU119" s="339"/>
      <c r="CV119" s="339"/>
      <c r="CW119" s="339"/>
      <c r="CX119" s="339"/>
      <c r="CY119" s="339"/>
      <c r="CZ119" s="339">
        <f t="shared" si="58"/>
        <v>0</v>
      </c>
      <c r="DB119" s="339"/>
      <c r="DC119" s="339"/>
      <c r="DD119" s="339"/>
      <c r="DE119" s="339"/>
      <c r="DF119" s="339"/>
      <c r="DG119" s="339">
        <f t="shared" si="59"/>
        <v>0</v>
      </c>
      <c r="DI119" s="339"/>
      <c r="DJ119" s="339"/>
      <c r="DK119" s="339"/>
      <c r="DL119" s="339"/>
      <c r="DM119" s="339"/>
      <c r="DN119" s="339">
        <f t="shared" si="60"/>
        <v>0</v>
      </c>
    </row>
    <row r="120" spans="19:118">
      <c r="S120" s="412"/>
      <c r="T120" s="409"/>
      <c r="V120" s="339">
        <v>3.2</v>
      </c>
      <c r="W120" s="339">
        <v>2.9</v>
      </c>
      <c r="X120" s="339"/>
      <c r="Y120" s="339" t="s">
        <v>720</v>
      </c>
      <c r="Z120" s="339">
        <f>Q5</f>
        <v>3.8249999999999997</v>
      </c>
      <c r="AA120" s="339">
        <f t="shared" si="47"/>
        <v>5.4550000000000001</v>
      </c>
      <c r="AC120" s="339"/>
      <c r="AD120" s="339"/>
      <c r="AE120" s="339"/>
      <c r="AF120" s="339"/>
      <c r="AG120" s="339"/>
      <c r="AH120" s="339">
        <f t="shared" si="48"/>
        <v>0</v>
      </c>
      <c r="AJ120" s="339"/>
      <c r="AK120" s="339"/>
      <c r="AL120" s="339"/>
      <c r="AM120" s="339"/>
      <c r="AN120" s="339"/>
      <c r="AO120" s="339">
        <f t="shared" si="49"/>
        <v>0</v>
      </c>
      <c r="AQ120" s="339"/>
      <c r="AR120" s="339"/>
      <c r="AS120" s="339"/>
      <c r="AT120" s="339"/>
      <c r="AU120" s="339"/>
      <c r="AV120" s="339">
        <f t="shared" si="50"/>
        <v>0</v>
      </c>
      <c r="AX120" s="339"/>
      <c r="AY120" s="339"/>
      <c r="AZ120" s="339"/>
      <c r="BA120" s="339"/>
      <c r="BB120" s="339"/>
      <c r="BC120" s="339">
        <f t="shared" si="51"/>
        <v>0</v>
      </c>
      <c r="BE120" s="339"/>
      <c r="BF120" s="339"/>
      <c r="BG120" s="339"/>
      <c r="BH120" s="339"/>
      <c r="BI120" s="339"/>
      <c r="BJ120" s="339">
        <f t="shared" si="52"/>
        <v>0</v>
      </c>
      <c r="BL120" s="339"/>
      <c r="BM120" s="339"/>
      <c r="BN120" s="339"/>
      <c r="BO120" s="339"/>
      <c r="BP120" s="339"/>
      <c r="BQ120" s="339">
        <f t="shared" si="53"/>
        <v>0</v>
      </c>
      <c r="BS120" s="339"/>
      <c r="BT120" s="339"/>
      <c r="BU120" s="339"/>
      <c r="BV120" s="339"/>
      <c r="BW120" s="339"/>
      <c r="BX120" s="339">
        <f t="shared" si="54"/>
        <v>0</v>
      </c>
      <c r="BZ120" s="339"/>
      <c r="CA120" s="339"/>
      <c r="CB120" s="339"/>
      <c r="CC120" s="339"/>
      <c r="CD120" s="339"/>
      <c r="CE120" s="339">
        <f t="shared" si="55"/>
        <v>0</v>
      </c>
      <c r="CG120" s="339"/>
      <c r="CH120" s="339"/>
      <c r="CI120" s="339"/>
      <c r="CJ120" s="339"/>
      <c r="CK120" s="339"/>
      <c r="CL120" s="339">
        <f t="shared" si="56"/>
        <v>0</v>
      </c>
      <c r="CN120" s="339"/>
      <c r="CO120" s="339"/>
      <c r="CP120" s="339"/>
      <c r="CQ120" s="339"/>
      <c r="CR120" s="339"/>
      <c r="CS120" s="339">
        <f t="shared" si="57"/>
        <v>0</v>
      </c>
      <c r="CU120" s="339"/>
      <c r="CV120" s="339"/>
      <c r="CW120" s="339"/>
      <c r="CX120" s="339"/>
      <c r="CY120" s="339"/>
      <c r="CZ120" s="339">
        <f t="shared" si="58"/>
        <v>0</v>
      </c>
      <c r="DA120" s="427" t="s">
        <v>760</v>
      </c>
      <c r="DB120" s="339">
        <v>18.149999999999999</v>
      </c>
      <c r="DC120" s="339">
        <v>3.55</v>
      </c>
      <c r="DD120" s="339"/>
      <c r="DE120" s="339"/>
      <c r="DF120" s="339"/>
      <c r="DG120" s="339">
        <f t="shared" si="59"/>
        <v>64.43249999999999</v>
      </c>
      <c r="DI120" s="339"/>
      <c r="DJ120" s="339"/>
      <c r="DK120" s="339"/>
      <c r="DL120" s="339"/>
      <c r="DM120" s="339"/>
      <c r="DN120" s="339">
        <f t="shared" si="60"/>
        <v>0</v>
      </c>
    </row>
    <row r="121" spans="19:118">
      <c r="S121" s="412"/>
      <c r="T121" s="409"/>
      <c r="V121" s="339">
        <v>1.675</v>
      </c>
      <c r="W121" s="339">
        <v>2.9</v>
      </c>
      <c r="X121" s="339"/>
      <c r="Y121" s="339" t="s">
        <v>707</v>
      </c>
      <c r="Z121" s="339">
        <f>K4</f>
        <v>2.75</v>
      </c>
      <c r="AA121" s="339">
        <f t="shared" si="47"/>
        <v>2.1074999999999999</v>
      </c>
      <c r="AC121" s="339"/>
      <c r="AD121" s="339"/>
      <c r="AE121" s="339"/>
      <c r="AF121" s="339"/>
      <c r="AG121" s="339"/>
      <c r="AH121" s="339">
        <f t="shared" si="48"/>
        <v>0</v>
      </c>
      <c r="AJ121" s="339"/>
      <c r="AK121" s="339"/>
      <c r="AL121" s="339"/>
      <c r="AM121" s="339"/>
      <c r="AN121" s="339"/>
      <c r="AO121" s="339">
        <f t="shared" si="49"/>
        <v>0</v>
      </c>
      <c r="AQ121" s="339"/>
      <c r="AR121" s="339"/>
      <c r="AS121" s="339"/>
      <c r="AT121" s="339"/>
      <c r="AU121" s="339"/>
      <c r="AV121" s="339">
        <f t="shared" si="50"/>
        <v>0</v>
      </c>
      <c r="AX121" s="339"/>
      <c r="AY121" s="339"/>
      <c r="AZ121" s="339"/>
      <c r="BA121" s="339"/>
      <c r="BB121" s="339"/>
      <c r="BC121" s="339">
        <f t="shared" si="51"/>
        <v>0</v>
      </c>
      <c r="BE121" s="339"/>
      <c r="BF121" s="339"/>
      <c r="BG121" s="339"/>
      <c r="BH121" s="339"/>
      <c r="BI121" s="339"/>
      <c r="BJ121" s="339">
        <f t="shared" si="52"/>
        <v>0</v>
      </c>
      <c r="BL121" s="339"/>
      <c r="BM121" s="339"/>
      <c r="BN121" s="339"/>
      <c r="BO121" s="339"/>
      <c r="BP121" s="339"/>
      <c r="BQ121" s="339">
        <f t="shared" si="53"/>
        <v>0</v>
      </c>
      <c r="BS121" s="339"/>
      <c r="BT121" s="339"/>
      <c r="BU121" s="339"/>
      <c r="BV121" s="339"/>
      <c r="BW121" s="339"/>
      <c r="BX121" s="339">
        <f t="shared" si="54"/>
        <v>0</v>
      </c>
      <c r="BZ121" s="339"/>
      <c r="CA121" s="339"/>
      <c r="CB121" s="339"/>
      <c r="CC121" s="339"/>
      <c r="CD121" s="339"/>
      <c r="CE121" s="339">
        <f t="shared" si="55"/>
        <v>0</v>
      </c>
      <c r="CG121" s="339"/>
      <c r="CH121" s="339"/>
      <c r="CI121" s="339"/>
      <c r="CJ121" s="339"/>
      <c r="CK121" s="339"/>
      <c r="CL121" s="339">
        <f t="shared" si="56"/>
        <v>0</v>
      </c>
      <c r="CN121" s="339"/>
      <c r="CO121" s="339"/>
      <c r="CP121" s="339"/>
      <c r="CQ121" s="339"/>
      <c r="CR121" s="339"/>
      <c r="CS121" s="339">
        <f t="shared" si="57"/>
        <v>0</v>
      </c>
      <c r="CU121" s="339"/>
      <c r="CV121" s="339"/>
      <c r="CW121" s="339"/>
      <c r="CX121" s="339"/>
      <c r="CY121" s="339"/>
      <c r="CZ121" s="339">
        <f t="shared" si="58"/>
        <v>0</v>
      </c>
      <c r="DB121" s="339"/>
      <c r="DC121" s="339"/>
      <c r="DD121" s="339"/>
      <c r="DE121" s="339"/>
      <c r="DF121" s="339"/>
      <c r="DG121" s="339">
        <f t="shared" si="59"/>
        <v>0</v>
      </c>
      <c r="DI121" s="339"/>
      <c r="DJ121" s="339"/>
      <c r="DK121" s="339"/>
      <c r="DL121" s="339"/>
      <c r="DM121" s="339"/>
      <c r="DN121" s="339">
        <f t="shared" si="60"/>
        <v>0</v>
      </c>
    </row>
    <row r="122" spans="19:118">
      <c r="S122" s="412"/>
      <c r="T122" s="409"/>
      <c r="V122" s="339">
        <v>3.6749999999999998</v>
      </c>
      <c r="W122" s="339">
        <v>2.65</v>
      </c>
      <c r="X122" s="339"/>
      <c r="Y122" s="339"/>
      <c r="Z122" s="339"/>
      <c r="AA122" s="339">
        <f t="shared" si="47"/>
        <v>9.7387499999999996</v>
      </c>
      <c r="AC122" s="339"/>
      <c r="AD122" s="339"/>
      <c r="AE122" s="339"/>
      <c r="AF122" s="339"/>
      <c r="AG122" s="339"/>
      <c r="AH122" s="339">
        <f t="shared" si="48"/>
        <v>0</v>
      </c>
      <c r="AJ122" s="339"/>
      <c r="AK122" s="339"/>
      <c r="AL122" s="339"/>
      <c r="AM122" s="339"/>
      <c r="AN122" s="339"/>
      <c r="AO122" s="339">
        <f t="shared" si="49"/>
        <v>0</v>
      </c>
      <c r="AQ122" s="339"/>
      <c r="AR122" s="339"/>
      <c r="AS122" s="339"/>
      <c r="AT122" s="339"/>
      <c r="AU122" s="339"/>
      <c r="AV122" s="339">
        <f t="shared" si="50"/>
        <v>0</v>
      </c>
      <c r="AX122" s="339"/>
      <c r="AY122" s="339"/>
      <c r="AZ122" s="339"/>
      <c r="BA122" s="339"/>
      <c r="BB122" s="339"/>
      <c r="BC122" s="339">
        <f t="shared" si="51"/>
        <v>0</v>
      </c>
      <c r="BE122" s="339"/>
      <c r="BF122" s="339"/>
      <c r="BG122" s="339"/>
      <c r="BH122" s="339"/>
      <c r="BI122" s="339"/>
      <c r="BJ122" s="339">
        <f t="shared" si="52"/>
        <v>0</v>
      </c>
      <c r="BL122" s="339"/>
      <c r="BM122" s="339"/>
      <c r="BN122" s="339"/>
      <c r="BO122" s="339"/>
      <c r="BP122" s="339"/>
      <c r="BQ122" s="339">
        <f t="shared" si="53"/>
        <v>0</v>
      </c>
      <c r="BS122" s="339"/>
      <c r="BT122" s="339"/>
      <c r="BU122" s="339"/>
      <c r="BV122" s="339"/>
      <c r="BW122" s="339"/>
      <c r="BX122" s="339">
        <f t="shared" si="54"/>
        <v>0</v>
      </c>
      <c r="BZ122" s="339"/>
      <c r="CA122" s="339"/>
      <c r="CB122" s="339"/>
      <c r="CC122" s="339"/>
      <c r="CD122" s="339"/>
      <c r="CE122" s="339">
        <f t="shared" si="55"/>
        <v>0</v>
      </c>
      <c r="CG122" s="339"/>
      <c r="CH122" s="339"/>
      <c r="CI122" s="339"/>
      <c r="CJ122" s="339"/>
      <c r="CK122" s="339"/>
      <c r="CL122" s="339">
        <f t="shared" si="56"/>
        <v>0</v>
      </c>
      <c r="CN122" s="339"/>
      <c r="CO122" s="339"/>
      <c r="CP122" s="339"/>
      <c r="CQ122" s="339"/>
      <c r="CR122" s="339"/>
      <c r="CS122" s="339">
        <f t="shared" si="57"/>
        <v>0</v>
      </c>
      <c r="CU122" s="339"/>
      <c r="CV122" s="339"/>
      <c r="CW122" s="339"/>
      <c r="CX122" s="339"/>
      <c r="CY122" s="339"/>
      <c r="CZ122" s="339">
        <f t="shared" si="58"/>
        <v>0</v>
      </c>
      <c r="DB122" s="339"/>
      <c r="DC122" s="339"/>
      <c r="DD122" s="339"/>
      <c r="DE122" s="339"/>
      <c r="DF122" s="339"/>
      <c r="DG122" s="339">
        <f t="shared" si="59"/>
        <v>0</v>
      </c>
      <c r="DI122" s="339"/>
      <c r="DJ122" s="339"/>
      <c r="DK122" s="339"/>
      <c r="DL122" s="339"/>
      <c r="DM122" s="339"/>
      <c r="DN122" s="339">
        <f t="shared" si="60"/>
        <v>0</v>
      </c>
    </row>
    <row r="123" spans="19:118">
      <c r="S123" s="412"/>
      <c r="T123" s="412"/>
      <c r="V123" s="339">
        <v>4.5750000000000002</v>
      </c>
      <c r="W123" s="339">
        <v>2.65</v>
      </c>
      <c r="X123" s="339"/>
      <c r="Y123" s="339"/>
      <c r="Z123" s="339"/>
      <c r="AA123" s="339">
        <f t="shared" si="47"/>
        <v>12.123749999999999</v>
      </c>
      <c r="AC123" s="339"/>
      <c r="AD123" s="339"/>
      <c r="AE123" s="339"/>
      <c r="AF123" s="339"/>
      <c r="AG123" s="339"/>
      <c r="AH123" s="339">
        <f t="shared" si="48"/>
        <v>0</v>
      </c>
      <c r="AJ123" s="339"/>
      <c r="AK123" s="339"/>
      <c r="AL123" s="339"/>
      <c r="AM123" s="339"/>
      <c r="AN123" s="339"/>
      <c r="AO123" s="339">
        <f t="shared" si="49"/>
        <v>0</v>
      </c>
      <c r="AQ123" s="339"/>
      <c r="AR123" s="339"/>
      <c r="AS123" s="339"/>
      <c r="AT123" s="339"/>
      <c r="AU123" s="339"/>
      <c r="AV123" s="339">
        <f t="shared" si="50"/>
        <v>0</v>
      </c>
      <c r="AX123" s="339"/>
      <c r="AY123" s="339"/>
      <c r="AZ123" s="339"/>
      <c r="BA123" s="339"/>
      <c r="BB123" s="339"/>
      <c r="BC123" s="339">
        <f t="shared" si="51"/>
        <v>0</v>
      </c>
      <c r="BE123" s="339"/>
      <c r="BF123" s="339"/>
      <c r="BG123" s="339"/>
      <c r="BH123" s="339"/>
      <c r="BI123" s="339"/>
      <c r="BJ123" s="339">
        <f t="shared" si="52"/>
        <v>0</v>
      </c>
      <c r="BL123" s="339"/>
      <c r="BM123" s="339"/>
      <c r="BN123" s="339"/>
      <c r="BO123" s="339"/>
      <c r="BP123" s="339"/>
      <c r="BQ123" s="339">
        <f t="shared" si="53"/>
        <v>0</v>
      </c>
      <c r="BS123" s="339"/>
      <c r="BT123" s="339"/>
      <c r="BU123" s="339"/>
      <c r="BV123" s="339"/>
      <c r="BW123" s="339"/>
      <c r="BX123" s="339">
        <f t="shared" si="54"/>
        <v>0</v>
      </c>
      <c r="BZ123" s="339"/>
      <c r="CA123" s="339"/>
      <c r="CB123" s="339"/>
      <c r="CC123" s="339"/>
      <c r="CD123" s="339"/>
      <c r="CE123" s="339">
        <f t="shared" si="55"/>
        <v>0</v>
      </c>
      <c r="CG123" s="339"/>
      <c r="CH123" s="339"/>
      <c r="CI123" s="339"/>
      <c r="CJ123" s="339"/>
      <c r="CK123" s="339"/>
      <c r="CL123" s="339">
        <f t="shared" si="56"/>
        <v>0</v>
      </c>
      <c r="CN123" s="339"/>
      <c r="CO123" s="339"/>
      <c r="CP123" s="339"/>
      <c r="CQ123" s="339"/>
      <c r="CR123" s="339"/>
      <c r="CS123" s="339">
        <f t="shared" si="57"/>
        <v>0</v>
      </c>
      <c r="CU123" s="339"/>
      <c r="CV123" s="339"/>
      <c r="CW123" s="339"/>
      <c r="CX123" s="339"/>
      <c r="CY123" s="339"/>
      <c r="CZ123" s="339">
        <f t="shared" si="58"/>
        <v>0</v>
      </c>
      <c r="DB123" s="339"/>
      <c r="DC123" s="339"/>
      <c r="DD123" s="339"/>
      <c r="DE123" s="339"/>
      <c r="DF123" s="339"/>
      <c r="DG123" s="339">
        <f t="shared" si="59"/>
        <v>0</v>
      </c>
      <c r="DI123" s="339"/>
      <c r="DJ123" s="339"/>
      <c r="DK123" s="339"/>
      <c r="DL123" s="339"/>
      <c r="DM123" s="339"/>
      <c r="DN123" s="339">
        <f t="shared" si="60"/>
        <v>0</v>
      </c>
    </row>
    <row r="124" spans="19:118">
      <c r="S124" s="412"/>
      <c r="T124" s="412"/>
      <c r="V124" s="339">
        <v>1.575</v>
      </c>
      <c r="W124" s="339">
        <v>2.65</v>
      </c>
      <c r="X124" s="339"/>
      <c r="Y124" s="339"/>
      <c r="Z124" s="339"/>
      <c r="AA124" s="339">
        <f t="shared" si="47"/>
        <v>4.1737500000000001</v>
      </c>
      <c r="AC124" s="339"/>
      <c r="AD124" s="339"/>
      <c r="AE124" s="339"/>
      <c r="AF124" s="339"/>
      <c r="AG124" s="339"/>
      <c r="AH124" s="339">
        <f t="shared" si="48"/>
        <v>0</v>
      </c>
      <c r="AJ124" s="339"/>
      <c r="AK124" s="339"/>
      <c r="AL124" s="339"/>
      <c r="AM124" s="339"/>
      <c r="AN124" s="339"/>
      <c r="AO124" s="339">
        <f t="shared" si="49"/>
        <v>0</v>
      </c>
      <c r="AQ124" s="339"/>
      <c r="AR124" s="339"/>
      <c r="AS124" s="339"/>
      <c r="AT124" s="339"/>
      <c r="AU124" s="339"/>
      <c r="AV124" s="339">
        <f t="shared" si="50"/>
        <v>0</v>
      </c>
      <c r="AX124" s="339"/>
      <c r="AY124" s="339"/>
      <c r="AZ124" s="339"/>
      <c r="BA124" s="339"/>
      <c r="BB124" s="339"/>
      <c r="BC124" s="339">
        <f t="shared" si="51"/>
        <v>0</v>
      </c>
      <c r="BE124" s="339"/>
      <c r="BF124" s="339"/>
      <c r="BG124" s="339"/>
      <c r="BH124" s="339"/>
      <c r="BI124" s="339"/>
      <c r="BJ124" s="339">
        <f t="shared" si="52"/>
        <v>0</v>
      </c>
      <c r="BL124" s="339"/>
      <c r="BM124" s="339"/>
      <c r="BN124" s="339"/>
      <c r="BO124" s="339"/>
      <c r="BP124" s="339"/>
      <c r="BQ124" s="339">
        <f t="shared" si="53"/>
        <v>0</v>
      </c>
      <c r="BS124" s="339"/>
      <c r="BT124" s="339"/>
      <c r="BU124" s="339"/>
      <c r="BV124" s="339"/>
      <c r="BW124" s="339"/>
      <c r="BX124" s="339">
        <f t="shared" si="54"/>
        <v>0</v>
      </c>
      <c r="BZ124" s="339"/>
      <c r="CA124" s="339"/>
      <c r="CB124" s="339"/>
      <c r="CC124" s="339"/>
      <c r="CD124" s="339"/>
      <c r="CE124" s="339">
        <f t="shared" si="55"/>
        <v>0</v>
      </c>
      <c r="CG124" s="339"/>
      <c r="CH124" s="339"/>
      <c r="CI124" s="339"/>
      <c r="CJ124" s="339"/>
      <c r="CK124" s="339"/>
      <c r="CL124" s="339">
        <f t="shared" si="56"/>
        <v>0</v>
      </c>
      <c r="CN124" s="339"/>
      <c r="CO124" s="339"/>
      <c r="CP124" s="339"/>
      <c r="CQ124" s="339"/>
      <c r="CR124" s="339"/>
      <c r="CS124" s="339">
        <f t="shared" si="57"/>
        <v>0</v>
      </c>
      <c r="CU124" s="339"/>
      <c r="CV124" s="339"/>
      <c r="CW124" s="339"/>
      <c r="CX124" s="339"/>
      <c r="CY124" s="339"/>
      <c r="CZ124" s="339">
        <f t="shared" si="58"/>
        <v>0</v>
      </c>
      <c r="DB124" s="339"/>
      <c r="DC124" s="339"/>
      <c r="DD124" s="339"/>
      <c r="DE124" s="339"/>
      <c r="DF124" s="339"/>
      <c r="DG124" s="339">
        <f t="shared" si="59"/>
        <v>0</v>
      </c>
      <c r="DI124" s="339"/>
      <c r="DJ124" s="339"/>
      <c r="DK124" s="339"/>
      <c r="DL124" s="339"/>
      <c r="DM124" s="339"/>
      <c r="DN124" s="339">
        <f t="shared" si="60"/>
        <v>0</v>
      </c>
    </row>
    <row r="125" spans="19:118">
      <c r="S125" s="412"/>
      <c r="T125" s="412"/>
      <c r="V125" s="339">
        <v>1.575</v>
      </c>
      <c r="W125" s="339">
        <v>2.65</v>
      </c>
      <c r="X125" s="339"/>
      <c r="Y125" s="339"/>
      <c r="Z125" s="339"/>
      <c r="AA125" s="339">
        <f t="shared" si="47"/>
        <v>4.1737500000000001</v>
      </c>
      <c r="AC125" s="339"/>
      <c r="AD125" s="339"/>
      <c r="AE125" s="339"/>
      <c r="AF125" s="339"/>
      <c r="AG125" s="339"/>
      <c r="AH125" s="339">
        <f t="shared" si="48"/>
        <v>0</v>
      </c>
      <c r="AJ125" s="339"/>
      <c r="AK125" s="339"/>
      <c r="AL125" s="339"/>
      <c r="AM125" s="339"/>
      <c r="AN125" s="339"/>
      <c r="AO125" s="339">
        <f t="shared" si="49"/>
        <v>0</v>
      </c>
      <c r="AQ125" s="339"/>
      <c r="AR125" s="339"/>
      <c r="AS125" s="339"/>
      <c r="AT125" s="339"/>
      <c r="AU125" s="339"/>
      <c r="AV125" s="339">
        <f t="shared" si="50"/>
        <v>0</v>
      </c>
      <c r="AX125" s="339"/>
      <c r="AY125" s="339"/>
      <c r="AZ125" s="339"/>
      <c r="BA125" s="339"/>
      <c r="BB125" s="339"/>
      <c r="BC125" s="339">
        <f t="shared" si="51"/>
        <v>0</v>
      </c>
      <c r="BE125" s="339"/>
      <c r="BF125" s="339"/>
      <c r="BG125" s="339"/>
      <c r="BH125" s="339"/>
      <c r="BI125" s="339"/>
      <c r="BJ125" s="339">
        <f t="shared" si="52"/>
        <v>0</v>
      </c>
      <c r="BL125" s="339"/>
      <c r="BM125" s="339"/>
      <c r="BN125" s="339"/>
      <c r="BO125" s="339"/>
      <c r="BP125" s="339"/>
      <c r="BQ125" s="339">
        <f t="shared" si="53"/>
        <v>0</v>
      </c>
      <c r="BS125" s="339"/>
      <c r="BT125" s="339"/>
      <c r="BU125" s="339"/>
      <c r="BV125" s="339"/>
      <c r="BW125" s="339"/>
      <c r="BX125" s="339">
        <f t="shared" si="54"/>
        <v>0</v>
      </c>
      <c r="BZ125" s="339"/>
      <c r="CA125" s="339"/>
      <c r="CB125" s="339"/>
      <c r="CC125" s="339"/>
      <c r="CD125" s="339"/>
      <c r="CE125" s="339">
        <f t="shared" si="55"/>
        <v>0</v>
      </c>
      <c r="CG125" s="339"/>
      <c r="CH125" s="339"/>
      <c r="CI125" s="339"/>
      <c r="CJ125" s="339"/>
      <c r="CK125" s="339"/>
      <c r="CL125" s="339">
        <f t="shared" si="56"/>
        <v>0</v>
      </c>
      <c r="CN125" s="339"/>
      <c r="CO125" s="339"/>
      <c r="CP125" s="339"/>
      <c r="CQ125" s="339"/>
      <c r="CR125" s="339"/>
      <c r="CS125" s="339">
        <f t="shared" si="57"/>
        <v>0</v>
      </c>
      <c r="CU125" s="339"/>
      <c r="CV125" s="339"/>
      <c r="CW125" s="339"/>
      <c r="CX125" s="339"/>
      <c r="CY125" s="339"/>
      <c r="CZ125" s="339">
        <f t="shared" si="58"/>
        <v>0</v>
      </c>
      <c r="DB125" s="339"/>
      <c r="DC125" s="339"/>
      <c r="DD125" s="339"/>
      <c r="DE125" s="339"/>
      <c r="DF125" s="339"/>
      <c r="DG125" s="339">
        <f t="shared" si="59"/>
        <v>0</v>
      </c>
      <c r="DI125" s="339"/>
      <c r="DJ125" s="339"/>
      <c r="DK125" s="339"/>
      <c r="DL125" s="339"/>
      <c r="DM125" s="339"/>
      <c r="DN125" s="339">
        <f t="shared" si="60"/>
        <v>0</v>
      </c>
    </row>
    <row r="126" spans="19:118">
      <c r="S126" s="412"/>
      <c r="T126" s="412"/>
      <c r="V126" s="339">
        <v>1.37</v>
      </c>
      <c r="W126" s="339">
        <v>2.65</v>
      </c>
      <c r="X126" s="339"/>
      <c r="Y126" s="339"/>
      <c r="Z126" s="339"/>
      <c r="AA126" s="339">
        <f t="shared" si="47"/>
        <v>3.6305000000000001</v>
      </c>
      <c r="AC126" s="339"/>
      <c r="AD126" s="339"/>
      <c r="AE126" s="339"/>
      <c r="AF126" s="339"/>
      <c r="AG126" s="339"/>
      <c r="AH126" s="339">
        <f t="shared" si="48"/>
        <v>0</v>
      </c>
      <c r="AJ126" s="339"/>
      <c r="AK126" s="339"/>
      <c r="AL126" s="339"/>
      <c r="AM126" s="339"/>
      <c r="AN126" s="339"/>
      <c r="AO126" s="339">
        <f t="shared" si="49"/>
        <v>0</v>
      </c>
      <c r="AQ126" s="339"/>
      <c r="AR126" s="339"/>
      <c r="AS126" s="339"/>
      <c r="AT126" s="339"/>
      <c r="AU126" s="339"/>
      <c r="AV126" s="339">
        <f t="shared" si="50"/>
        <v>0</v>
      </c>
      <c r="AX126" s="339"/>
      <c r="AY126" s="339"/>
      <c r="AZ126" s="339"/>
      <c r="BA126" s="339"/>
      <c r="BB126" s="339"/>
      <c r="BC126" s="339">
        <f t="shared" si="51"/>
        <v>0</v>
      </c>
      <c r="BE126" s="339"/>
      <c r="BF126" s="339"/>
      <c r="BG126" s="339"/>
      <c r="BH126" s="339"/>
      <c r="BI126" s="339"/>
      <c r="BJ126" s="339">
        <f t="shared" si="52"/>
        <v>0</v>
      </c>
      <c r="BL126" s="339"/>
      <c r="BM126" s="339"/>
      <c r="BN126" s="339"/>
      <c r="BO126" s="339"/>
      <c r="BP126" s="339"/>
      <c r="BQ126" s="339">
        <f t="shared" si="53"/>
        <v>0</v>
      </c>
      <c r="BS126" s="339"/>
      <c r="BT126" s="339"/>
      <c r="BU126" s="339"/>
      <c r="BV126" s="339"/>
      <c r="BW126" s="339"/>
      <c r="BX126" s="339">
        <f t="shared" si="54"/>
        <v>0</v>
      </c>
      <c r="BZ126" s="339"/>
      <c r="CA126" s="339"/>
      <c r="CB126" s="339"/>
      <c r="CC126" s="339"/>
      <c r="CD126" s="339"/>
      <c r="CE126" s="339">
        <f t="shared" si="55"/>
        <v>0</v>
      </c>
      <c r="CG126" s="339"/>
      <c r="CH126" s="339"/>
      <c r="CI126" s="339"/>
      <c r="CJ126" s="339"/>
      <c r="CK126" s="339"/>
      <c r="CL126" s="339">
        <f t="shared" si="56"/>
        <v>0</v>
      </c>
      <c r="CN126" s="339"/>
      <c r="CO126" s="339"/>
      <c r="CP126" s="339"/>
      <c r="CQ126" s="339"/>
      <c r="CR126" s="339"/>
      <c r="CS126" s="339">
        <f t="shared" si="57"/>
        <v>0</v>
      </c>
      <c r="CU126" s="339"/>
      <c r="CV126" s="339"/>
      <c r="CW126" s="339"/>
      <c r="CX126" s="339"/>
      <c r="CY126" s="339"/>
      <c r="CZ126" s="339">
        <f t="shared" si="58"/>
        <v>0</v>
      </c>
      <c r="DB126" s="339"/>
      <c r="DC126" s="339"/>
      <c r="DD126" s="339"/>
      <c r="DE126" s="339"/>
      <c r="DF126" s="339"/>
      <c r="DG126" s="339">
        <f t="shared" si="59"/>
        <v>0</v>
      </c>
      <c r="DI126" s="339"/>
      <c r="DJ126" s="339"/>
      <c r="DK126" s="339"/>
      <c r="DL126" s="339"/>
      <c r="DM126" s="339"/>
      <c r="DN126" s="339">
        <f t="shared" si="60"/>
        <v>0</v>
      </c>
    </row>
    <row r="127" spans="19:118">
      <c r="S127" s="412"/>
      <c r="T127" s="412"/>
      <c r="V127" s="339">
        <v>6</v>
      </c>
      <c r="W127" s="339">
        <v>2.65</v>
      </c>
      <c r="X127" s="339"/>
      <c r="Y127" s="339"/>
      <c r="Z127" s="339"/>
      <c r="AA127" s="339">
        <f t="shared" si="47"/>
        <v>15.899999999999999</v>
      </c>
      <c r="AC127" s="339"/>
      <c r="AD127" s="339"/>
      <c r="AE127" s="339"/>
      <c r="AF127" s="339"/>
      <c r="AG127" s="339"/>
      <c r="AH127" s="339">
        <f t="shared" si="48"/>
        <v>0</v>
      </c>
      <c r="AJ127" s="339"/>
      <c r="AK127" s="339"/>
      <c r="AL127" s="339"/>
      <c r="AM127" s="339"/>
      <c r="AN127" s="339"/>
      <c r="AO127" s="339">
        <f t="shared" si="49"/>
        <v>0</v>
      </c>
      <c r="AQ127" s="339"/>
      <c r="AR127" s="339"/>
      <c r="AS127" s="339"/>
      <c r="AT127" s="339"/>
      <c r="AU127" s="339"/>
      <c r="AV127" s="339">
        <f t="shared" si="50"/>
        <v>0</v>
      </c>
      <c r="AX127" s="339"/>
      <c r="AY127" s="339"/>
      <c r="AZ127" s="339"/>
      <c r="BA127" s="339"/>
      <c r="BB127" s="339"/>
      <c r="BC127" s="339">
        <f t="shared" si="51"/>
        <v>0</v>
      </c>
      <c r="BE127" s="339"/>
      <c r="BF127" s="339"/>
      <c r="BG127" s="339"/>
      <c r="BH127" s="339"/>
      <c r="BI127" s="339"/>
      <c r="BJ127" s="339">
        <f t="shared" si="52"/>
        <v>0</v>
      </c>
      <c r="BL127" s="339"/>
      <c r="BM127" s="339"/>
      <c r="BN127" s="339"/>
      <c r="BO127" s="339"/>
      <c r="BP127" s="339"/>
      <c r="BQ127" s="339">
        <f t="shared" si="53"/>
        <v>0</v>
      </c>
      <c r="BS127" s="339"/>
      <c r="BT127" s="339"/>
      <c r="BU127" s="339"/>
      <c r="BV127" s="339"/>
      <c r="BW127" s="339"/>
      <c r="BX127" s="339">
        <f t="shared" si="54"/>
        <v>0</v>
      </c>
      <c r="BZ127" s="339"/>
      <c r="CA127" s="339"/>
      <c r="CB127" s="339"/>
      <c r="CC127" s="339"/>
      <c r="CD127" s="339"/>
      <c r="CE127" s="339">
        <f t="shared" si="55"/>
        <v>0</v>
      </c>
      <c r="CG127" s="339"/>
      <c r="CH127" s="339"/>
      <c r="CI127" s="339"/>
      <c r="CJ127" s="339"/>
      <c r="CK127" s="339"/>
      <c r="CL127" s="339">
        <f t="shared" si="56"/>
        <v>0</v>
      </c>
      <c r="CN127" s="339"/>
      <c r="CO127" s="339"/>
      <c r="CP127" s="339"/>
      <c r="CQ127" s="339"/>
      <c r="CR127" s="339"/>
      <c r="CS127" s="339">
        <f t="shared" si="57"/>
        <v>0</v>
      </c>
      <c r="CU127" s="339"/>
      <c r="CV127" s="339"/>
      <c r="CW127" s="339"/>
      <c r="CX127" s="339"/>
      <c r="CY127" s="339"/>
      <c r="CZ127" s="339">
        <f t="shared" si="58"/>
        <v>0</v>
      </c>
      <c r="DB127" s="339"/>
      <c r="DC127" s="339"/>
      <c r="DD127" s="339"/>
      <c r="DE127" s="339"/>
      <c r="DF127" s="339"/>
      <c r="DG127" s="339">
        <f t="shared" si="59"/>
        <v>0</v>
      </c>
      <c r="DI127" s="339"/>
      <c r="DJ127" s="339"/>
      <c r="DK127" s="339"/>
      <c r="DL127" s="339"/>
      <c r="DM127" s="339"/>
      <c r="DN127" s="339">
        <f t="shared" si="60"/>
        <v>0</v>
      </c>
    </row>
    <row r="128" spans="19:118">
      <c r="S128" s="412"/>
      <c r="T128" s="412"/>
      <c r="V128" s="339">
        <v>5.7</v>
      </c>
      <c r="W128" s="339">
        <v>2.65</v>
      </c>
      <c r="X128" s="339"/>
      <c r="Y128" s="339" t="s">
        <v>721</v>
      </c>
      <c r="Z128" s="339">
        <f>K6</f>
        <v>4.75</v>
      </c>
      <c r="AA128" s="339">
        <f t="shared" si="47"/>
        <v>10.355</v>
      </c>
      <c r="AC128" s="339"/>
      <c r="AD128" s="339"/>
      <c r="AE128" s="339"/>
      <c r="AF128" s="339"/>
      <c r="AG128" s="339"/>
      <c r="AH128" s="339">
        <f t="shared" si="48"/>
        <v>0</v>
      </c>
      <c r="AJ128" s="339"/>
      <c r="AK128" s="339"/>
      <c r="AL128" s="339"/>
      <c r="AM128" s="339"/>
      <c r="AN128" s="339"/>
      <c r="AO128" s="339">
        <f t="shared" si="49"/>
        <v>0</v>
      </c>
      <c r="AQ128" s="339"/>
      <c r="AR128" s="339"/>
      <c r="AS128" s="339"/>
      <c r="AT128" s="339"/>
      <c r="AU128" s="339"/>
      <c r="AV128" s="339">
        <f t="shared" si="50"/>
        <v>0</v>
      </c>
      <c r="AX128" s="339"/>
      <c r="AY128" s="339"/>
      <c r="AZ128" s="339"/>
      <c r="BA128" s="339"/>
      <c r="BB128" s="339"/>
      <c r="BC128" s="339">
        <f t="shared" si="51"/>
        <v>0</v>
      </c>
      <c r="BE128" s="339"/>
      <c r="BF128" s="339"/>
      <c r="BG128" s="339"/>
      <c r="BH128" s="339"/>
      <c r="BI128" s="339"/>
      <c r="BJ128" s="339">
        <f t="shared" si="52"/>
        <v>0</v>
      </c>
      <c r="BL128" s="339"/>
      <c r="BM128" s="339"/>
      <c r="BN128" s="339"/>
      <c r="BO128" s="339"/>
      <c r="BP128" s="339"/>
      <c r="BQ128" s="339">
        <f t="shared" si="53"/>
        <v>0</v>
      </c>
      <c r="BS128" s="339"/>
      <c r="BT128" s="339"/>
      <c r="BU128" s="339"/>
      <c r="BV128" s="339"/>
      <c r="BW128" s="339"/>
      <c r="BX128" s="339">
        <f t="shared" si="54"/>
        <v>0</v>
      </c>
      <c r="BZ128" s="339"/>
      <c r="CA128" s="339"/>
      <c r="CB128" s="339"/>
      <c r="CC128" s="339"/>
      <c r="CD128" s="339"/>
      <c r="CE128" s="339">
        <f t="shared" si="55"/>
        <v>0</v>
      </c>
      <c r="CG128" s="339"/>
      <c r="CH128" s="339"/>
      <c r="CI128" s="339"/>
      <c r="CJ128" s="339"/>
      <c r="CK128" s="339"/>
      <c r="CL128" s="339">
        <f t="shared" si="56"/>
        <v>0</v>
      </c>
      <c r="CN128" s="339"/>
      <c r="CO128" s="339"/>
      <c r="CP128" s="339"/>
      <c r="CQ128" s="339"/>
      <c r="CR128" s="339"/>
      <c r="CS128" s="339">
        <f t="shared" si="57"/>
        <v>0</v>
      </c>
      <c r="CU128" s="339"/>
      <c r="CV128" s="339"/>
      <c r="CW128" s="339"/>
      <c r="CX128" s="339"/>
      <c r="CY128" s="339"/>
      <c r="CZ128" s="339">
        <f t="shared" si="58"/>
        <v>0</v>
      </c>
      <c r="DB128" s="339"/>
      <c r="DC128" s="339"/>
      <c r="DD128" s="339"/>
      <c r="DE128" s="339"/>
      <c r="DF128" s="339"/>
      <c r="DG128" s="339">
        <f t="shared" si="59"/>
        <v>0</v>
      </c>
      <c r="DI128" s="339"/>
      <c r="DJ128" s="339"/>
      <c r="DK128" s="339"/>
      <c r="DL128" s="339"/>
      <c r="DM128" s="339"/>
      <c r="DN128" s="339">
        <f t="shared" si="60"/>
        <v>0</v>
      </c>
    </row>
    <row r="129" spans="19:118">
      <c r="S129" s="412"/>
      <c r="T129" s="412"/>
      <c r="V129" s="339">
        <v>1.7</v>
      </c>
      <c r="W129" s="339">
        <v>2.65</v>
      </c>
      <c r="X129" s="339"/>
      <c r="Y129" s="339"/>
      <c r="Z129" s="339"/>
      <c r="AA129" s="339">
        <f t="shared" si="47"/>
        <v>4.5049999999999999</v>
      </c>
      <c r="AC129" s="339"/>
      <c r="AD129" s="339"/>
      <c r="AE129" s="339"/>
      <c r="AF129" s="339"/>
      <c r="AG129" s="339"/>
      <c r="AH129" s="339">
        <f t="shared" si="48"/>
        <v>0</v>
      </c>
      <c r="AJ129" s="339"/>
      <c r="AK129" s="339"/>
      <c r="AL129" s="339"/>
      <c r="AM129" s="339"/>
      <c r="AN129" s="339"/>
      <c r="AO129" s="339">
        <f t="shared" si="49"/>
        <v>0</v>
      </c>
      <c r="AQ129" s="339"/>
      <c r="AR129" s="339"/>
      <c r="AS129" s="339"/>
      <c r="AT129" s="339"/>
      <c r="AU129" s="339"/>
      <c r="AV129" s="339">
        <f t="shared" si="50"/>
        <v>0</v>
      </c>
      <c r="AX129" s="339"/>
      <c r="AY129" s="339"/>
      <c r="AZ129" s="339"/>
      <c r="BA129" s="339"/>
      <c r="BB129" s="339"/>
      <c r="BC129" s="339">
        <f t="shared" si="51"/>
        <v>0</v>
      </c>
      <c r="BE129" s="339"/>
      <c r="BF129" s="339"/>
      <c r="BG129" s="339"/>
      <c r="BH129" s="339"/>
      <c r="BI129" s="339"/>
      <c r="BJ129" s="339">
        <f t="shared" si="52"/>
        <v>0</v>
      </c>
      <c r="BL129" s="339"/>
      <c r="BM129" s="339"/>
      <c r="BN129" s="339"/>
      <c r="BO129" s="339"/>
      <c r="BP129" s="339"/>
      <c r="BQ129" s="339">
        <f t="shared" si="53"/>
        <v>0</v>
      </c>
      <c r="BS129" s="339"/>
      <c r="BT129" s="339"/>
      <c r="BU129" s="339"/>
      <c r="BV129" s="339"/>
      <c r="BW129" s="339"/>
      <c r="BX129" s="339">
        <f t="shared" si="54"/>
        <v>0</v>
      </c>
      <c r="BZ129" s="339"/>
      <c r="CA129" s="339"/>
      <c r="CB129" s="339"/>
      <c r="CC129" s="339"/>
      <c r="CD129" s="339"/>
      <c r="CE129" s="339">
        <f t="shared" si="55"/>
        <v>0</v>
      </c>
      <c r="CG129" s="339"/>
      <c r="CH129" s="339"/>
      <c r="CI129" s="339"/>
      <c r="CJ129" s="339"/>
      <c r="CK129" s="339"/>
      <c r="CL129" s="339">
        <f t="shared" si="56"/>
        <v>0</v>
      </c>
      <c r="CN129" s="339"/>
      <c r="CO129" s="339"/>
      <c r="CP129" s="339"/>
      <c r="CQ129" s="339"/>
      <c r="CR129" s="339"/>
      <c r="CS129" s="339">
        <f t="shared" si="57"/>
        <v>0</v>
      </c>
      <c r="CU129" s="339"/>
      <c r="CV129" s="339"/>
      <c r="CW129" s="339"/>
      <c r="CX129" s="339"/>
      <c r="CY129" s="339"/>
      <c r="CZ129" s="339">
        <f t="shared" si="58"/>
        <v>0</v>
      </c>
      <c r="DB129" s="339"/>
      <c r="DC129" s="339"/>
      <c r="DD129" s="339"/>
      <c r="DE129" s="339"/>
      <c r="DF129" s="339"/>
      <c r="DG129" s="339">
        <f t="shared" si="59"/>
        <v>0</v>
      </c>
      <c r="DI129" s="339"/>
      <c r="DJ129" s="339"/>
      <c r="DK129" s="339"/>
      <c r="DL129" s="339"/>
      <c r="DM129" s="339"/>
      <c r="DN129" s="339">
        <f t="shared" si="60"/>
        <v>0</v>
      </c>
    </row>
    <row r="130" spans="19:118">
      <c r="S130" s="412"/>
      <c r="T130" s="412"/>
      <c r="V130" s="339">
        <v>1.7</v>
      </c>
      <c r="W130" s="339">
        <v>2.65</v>
      </c>
      <c r="X130" s="339"/>
      <c r="Y130" s="339"/>
      <c r="Z130" s="339"/>
      <c r="AA130" s="339">
        <f t="shared" si="47"/>
        <v>4.5049999999999999</v>
      </c>
      <c r="AC130" s="339"/>
      <c r="AD130" s="339"/>
      <c r="AE130" s="339"/>
      <c r="AF130" s="339"/>
      <c r="AG130" s="339"/>
      <c r="AH130" s="339">
        <f t="shared" si="48"/>
        <v>0</v>
      </c>
      <c r="AJ130" s="339"/>
      <c r="AK130" s="339"/>
      <c r="AL130" s="339"/>
      <c r="AM130" s="339"/>
      <c r="AN130" s="339"/>
      <c r="AO130" s="339">
        <f t="shared" si="49"/>
        <v>0</v>
      </c>
      <c r="AQ130" s="339"/>
      <c r="AR130" s="339"/>
      <c r="AS130" s="339"/>
      <c r="AT130" s="339"/>
      <c r="AU130" s="339"/>
      <c r="AV130" s="339">
        <f t="shared" si="50"/>
        <v>0</v>
      </c>
      <c r="AX130" s="339"/>
      <c r="AY130" s="339"/>
      <c r="AZ130" s="339"/>
      <c r="BA130" s="339"/>
      <c r="BB130" s="339"/>
      <c r="BC130" s="339">
        <f t="shared" si="51"/>
        <v>0</v>
      </c>
      <c r="BE130" s="339"/>
      <c r="BF130" s="339"/>
      <c r="BG130" s="339"/>
      <c r="BH130" s="339"/>
      <c r="BI130" s="339"/>
      <c r="BJ130" s="339">
        <f t="shared" si="52"/>
        <v>0</v>
      </c>
      <c r="BL130" s="339"/>
      <c r="BM130" s="339"/>
      <c r="BN130" s="339"/>
      <c r="BO130" s="339"/>
      <c r="BP130" s="339"/>
      <c r="BQ130" s="339">
        <f t="shared" si="53"/>
        <v>0</v>
      </c>
      <c r="BS130" s="339"/>
      <c r="BT130" s="339"/>
      <c r="BU130" s="339"/>
      <c r="BV130" s="339"/>
      <c r="BW130" s="339"/>
      <c r="BX130" s="339">
        <f t="shared" si="54"/>
        <v>0</v>
      </c>
      <c r="BZ130" s="339"/>
      <c r="CA130" s="339"/>
      <c r="CB130" s="339"/>
      <c r="CC130" s="339"/>
      <c r="CD130" s="339"/>
      <c r="CE130" s="339">
        <f t="shared" si="55"/>
        <v>0</v>
      </c>
      <c r="CG130" s="339"/>
      <c r="CH130" s="339"/>
      <c r="CI130" s="339"/>
      <c r="CJ130" s="339"/>
      <c r="CK130" s="339"/>
      <c r="CL130" s="339">
        <f t="shared" si="56"/>
        <v>0</v>
      </c>
      <c r="CN130" s="339"/>
      <c r="CO130" s="339"/>
      <c r="CP130" s="339"/>
      <c r="CQ130" s="339"/>
      <c r="CR130" s="339"/>
      <c r="CS130" s="339">
        <f t="shared" si="57"/>
        <v>0</v>
      </c>
      <c r="CU130" s="339"/>
      <c r="CV130" s="339"/>
      <c r="CW130" s="339"/>
      <c r="CX130" s="339"/>
      <c r="CY130" s="339"/>
      <c r="CZ130" s="339">
        <f t="shared" si="58"/>
        <v>0</v>
      </c>
      <c r="DB130" s="339"/>
      <c r="DC130" s="339"/>
      <c r="DD130" s="339"/>
      <c r="DE130" s="339"/>
      <c r="DF130" s="339"/>
      <c r="DG130" s="339">
        <f t="shared" si="59"/>
        <v>0</v>
      </c>
      <c r="DI130" s="339"/>
      <c r="DJ130" s="339"/>
      <c r="DK130" s="339"/>
      <c r="DL130" s="339"/>
      <c r="DM130" s="339"/>
      <c r="DN130" s="339">
        <f t="shared" si="60"/>
        <v>0</v>
      </c>
    </row>
    <row r="131" spans="19:118">
      <c r="S131" s="412"/>
      <c r="T131" s="412"/>
      <c r="V131" s="339">
        <v>1.7</v>
      </c>
      <c r="W131" s="339">
        <v>2.65</v>
      </c>
      <c r="X131" s="339"/>
      <c r="Y131" s="339"/>
      <c r="Z131" s="339"/>
      <c r="AA131" s="339">
        <f t="shared" si="47"/>
        <v>4.5049999999999999</v>
      </c>
      <c r="AC131" s="339"/>
      <c r="AD131" s="339"/>
      <c r="AE131" s="339"/>
      <c r="AF131" s="339"/>
      <c r="AG131" s="339"/>
      <c r="AH131" s="339">
        <f t="shared" si="48"/>
        <v>0</v>
      </c>
      <c r="AJ131" s="339"/>
      <c r="AK131" s="339"/>
      <c r="AL131" s="339"/>
      <c r="AM131" s="339"/>
      <c r="AN131" s="339"/>
      <c r="AO131" s="339">
        <f t="shared" si="49"/>
        <v>0</v>
      </c>
      <c r="AQ131" s="339"/>
      <c r="AR131" s="339"/>
      <c r="AS131" s="339"/>
      <c r="AT131" s="339"/>
      <c r="AU131" s="339"/>
      <c r="AV131" s="339">
        <f t="shared" si="50"/>
        <v>0</v>
      </c>
      <c r="AX131" s="339"/>
      <c r="AY131" s="339"/>
      <c r="AZ131" s="339"/>
      <c r="BA131" s="339"/>
      <c r="BB131" s="339"/>
      <c r="BC131" s="339">
        <f t="shared" si="51"/>
        <v>0</v>
      </c>
      <c r="BE131" s="339"/>
      <c r="BF131" s="339"/>
      <c r="BG131" s="339"/>
      <c r="BH131" s="339"/>
      <c r="BI131" s="339"/>
      <c r="BJ131" s="339">
        <f t="shared" si="52"/>
        <v>0</v>
      </c>
      <c r="BL131" s="339"/>
      <c r="BM131" s="339"/>
      <c r="BN131" s="339"/>
      <c r="BO131" s="339"/>
      <c r="BP131" s="339"/>
      <c r="BQ131" s="339">
        <f t="shared" si="53"/>
        <v>0</v>
      </c>
      <c r="BS131" s="339"/>
      <c r="BT131" s="339"/>
      <c r="BU131" s="339"/>
      <c r="BV131" s="339"/>
      <c r="BW131" s="339"/>
      <c r="BX131" s="339">
        <f t="shared" si="54"/>
        <v>0</v>
      </c>
      <c r="BZ131" s="339"/>
      <c r="CA131" s="339"/>
      <c r="CB131" s="339"/>
      <c r="CC131" s="339"/>
      <c r="CD131" s="339"/>
      <c r="CE131" s="339">
        <f t="shared" si="55"/>
        <v>0</v>
      </c>
      <c r="CG131" s="339"/>
      <c r="CH131" s="339"/>
      <c r="CI131" s="339"/>
      <c r="CJ131" s="339"/>
      <c r="CK131" s="339"/>
      <c r="CL131" s="339">
        <f t="shared" si="56"/>
        <v>0</v>
      </c>
      <c r="CN131" s="339"/>
      <c r="CO131" s="339"/>
      <c r="CP131" s="339"/>
      <c r="CQ131" s="339"/>
      <c r="CR131" s="339"/>
      <c r="CS131" s="339">
        <f t="shared" si="57"/>
        <v>0</v>
      </c>
      <c r="CU131" s="339"/>
      <c r="CV131" s="339"/>
      <c r="CW131" s="339"/>
      <c r="CX131" s="339"/>
      <c r="CY131" s="339"/>
      <c r="CZ131" s="339">
        <f t="shared" si="58"/>
        <v>0</v>
      </c>
      <c r="DB131" s="339"/>
      <c r="DC131" s="339"/>
      <c r="DD131" s="339"/>
      <c r="DE131" s="339"/>
      <c r="DF131" s="339"/>
      <c r="DG131" s="339">
        <f t="shared" si="59"/>
        <v>0</v>
      </c>
      <c r="DI131" s="339"/>
      <c r="DJ131" s="339"/>
      <c r="DK131" s="339"/>
      <c r="DL131" s="339"/>
      <c r="DM131" s="339"/>
      <c r="DN131" s="339">
        <f t="shared" si="60"/>
        <v>0</v>
      </c>
    </row>
    <row r="132" spans="19:118">
      <c r="S132" s="412"/>
      <c r="T132" s="417"/>
      <c r="V132" s="339">
        <v>1.7</v>
      </c>
      <c r="W132" s="339">
        <v>2.65</v>
      </c>
      <c r="X132" s="339"/>
      <c r="Y132" s="339"/>
      <c r="Z132" s="339"/>
      <c r="AA132" s="339">
        <f t="shared" si="47"/>
        <v>4.5049999999999999</v>
      </c>
      <c r="AC132" s="339"/>
      <c r="AD132" s="339"/>
      <c r="AE132" s="339"/>
      <c r="AF132" s="339"/>
      <c r="AG132" s="339"/>
      <c r="AH132" s="339">
        <f t="shared" si="48"/>
        <v>0</v>
      </c>
      <c r="AJ132" s="339"/>
      <c r="AK132" s="339"/>
      <c r="AL132" s="339"/>
      <c r="AM132" s="339"/>
      <c r="AN132" s="339"/>
      <c r="AO132" s="339">
        <f t="shared" si="49"/>
        <v>0</v>
      </c>
      <c r="AQ132" s="339"/>
      <c r="AR132" s="339"/>
      <c r="AS132" s="339"/>
      <c r="AT132" s="339"/>
      <c r="AU132" s="339"/>
      <c r="AV132" s="339">
        <f t="shared" si="50"/>
        <v>0</v>
      </c>
      <c r="AX132" s="339"/>
      <c r="AY132" s="339"/>
      <c r="AZ132" s="339"/>
      <c r="BA132" s="339"/>
      <c r="BB132" s="339"/>
      <c r="BC132" s="339">
        <f t="shared" si="51"/>
        <v>0</v>
      </c>
      <c r="BE132" s="339"/>
      <c r="BF132" s="339"/>
      <c r="BG132" s="339"/>
      <c r="BH132" s="339"/>
      <c r="BI132" s="339"/>
      <c r="BJ132" s="339">
        <f t="shared" si="52"/>
        <v>0</v>
      </c>
      <c r="BL132" s="339"/>
      <c r="BM132" s="339"/>
      <c r="BN132" s="339"/>
      <c r="BO132" s="339"/>
      <c r="BP132" s="339"/>
      <c r="BQ132" s="339">
        <f t="shared" si="53"/>
        <v>0</v>
      </c>
      <c r="BS132" s="339"/>
      <c r="BT132" s="339"/>
      <c r="BU132" s="339"/>
      <c r="BV132" s="339"/>
      <c r="BW132" s="339"/>
      <c r="BX132" s="339">
        <f t="shared" si="54"/>
        <v>0</v>
      </c>
      <c r="BZ132" s="339"/>
      <c r="CA132" s="339"/>
      <c r="CB132" s="339"/>
      <c r="CC132" s="339"/>
      <c r="CD132" s="339"/>
      <c r="CE132" s="339">
        <f t="shared" si="55"/>
        <v>0</v>
      </c>
      <c r="CG132" s="339"/>
      <c r="CH132" s="339"/>
      <c r="CI132" s="339"/>
      <c r="CJ132" s="339"/>
      <c r="CK132" s="339"/>
      <c r="CL132" s="339">
        <f t="shared" si="56"/>
        <v>0</v>
      </c>
      <c r="CN132" s="339"/>
      <c r="CO132" s="339"/>
      <c r="CP132" s="339"/>
      <c r="CQ132" s="339"/>
      <c r="CR132" s="339"/>
      <c r="CS132" s="339">
        <f t="shared" si="57"/>
        <v>0</v>
      </c>
      <c r="CU132" s="339"/>
      <c r="CV132" s="339"/>
      <c r="CW132" s="339"/>
      <c r="CX132" s="339"/>
      <c r="CY132" s="339"/>
      <c r="CZ132" s="339">
        <f t="shared" si="58"/>
        <v>0</v>
      </c>
      <c r="DB132" s="339"/>
      <c r="DC132" s="339"/>
      <c r="DD132" s="339"/>
      <c r="DE132" s="339"/>
      <c r="DF132" s="339"/>
      <c r="DG132" s="339">
        <f t="shared" si="59"/>
        <v>0</v>
      </c>
      <c r="DI132" s="339"/>
      <c r="DJ132" s="339"/>
      <c r="DK132" s="339"/>
      <c r="DL132" s="339"/>
      <c r="DM132" s="339"/>
      <c r="DN132" s="339">
        <f t="shared" si="60"/>
        <v>0</v>
      </c>
    </row>
    <row r="133" spans="19:118">
      <c r="S133" s="412"/>
      <c r="T133" s="417"/>
      <c r="V133" s="339">
        <v>3.7</v>
      </c>
      <c r="W133" s="339">
        <v>2.9</v>
      </c>
      <c r="X133" s="339"/>
      <c r="Y133" s="339"/>
      <c r="Z133" s="339"/>
      <c r="AA133" s="339">
        <f t="shared" si="47"/>
        <v>10.73</v>
      </c>
      <c r="AC133" s="339"/>
      <c r="AD133" s="339"/>
      <c r="AE133" s="339"/>
      <c r="AF133" s="339"/>
      <c r="AG133" s="339"/>
      <c r="AH133" s="339">
        <f t="shared" si="48"/>
        <v>0</v>
      </c>
      <c r="AJ133" s="339"/>
      <c r="AK133" s="339"/>
      <c r="AL133" s="339"/>
      <c r="AM133" s="339"/>
      <c r="AN133" s="339"/>
      <c r="AO133" s="339">
        <f t="shared" si="49"/>
        <v>0</v>
      </c>
      <c r="AQ133" s="339"/>
      <c r="AR133" s="339"/>
      <c r="AS133" s="339"/>
      <c r="AT133" s="339"/>
      <c r="AU133" s="339"/>
      <c r="AV133" s="339">
        <f t="shared" si="50"/>
        <v>0</v>
      </c>
      <c r="AX133" s="339"/>
      <c r="AY133" s="339"/>
      <c r="AZ133" s="339"/>
      <c r="BA133" s="339"/>
      <c r="BB133" s="339"/>
      <c r="BC133" s="339">
        <f t="shared" si="51"/>
        <v>0</v>
      </c>
      <c r="BE133" s="339"/>
      <c r="BF133" s="339"/>
      <c r="BG133" s="339"/>
      <c r="BH133" s="339"/>
      <c r="BI133" s="339"/>
      <c r="BJ133" s="339">
        <f t="shared" si="52"/>
        <v>0</v>
      </c>
      <c r="BL133" s="339"/>
      <c r="BM133" s="339"/>
      <c r="BN133" s="339"/>
      <c r="BO133" s="339"/>
      <c r="BP133" s="339"/>
      <c r="BQ133" s="339">
        <f t="shared" si="53"/>
        <v>0</v>
      </c>
      <c r="BS133" s="339"/>
      <c r="BT133" s="339"/>
      <c r="BU133" s="339"/>
      <c r="BV133" s="339"/>
      <c r="BW133" s="339"/>
      <c r="BX133" s="339">
        <f t="shared" si="54"/>
        <v>0</v>
      </c>
      <c r="BZ133" s="339"/>
      <c r="CA133" s="339"/>
      <c r="CB133" s="339"/>
      <c r="CC133" s="339"/>
      <c r="CD133" s="339"/>
      <c r="CE133" s="339">
        <f t="shared" si="55"/>
        <v>0</v>
      </c>
      <c r="CG133" s="339"/>
      <c r="CH133" s="339"/>
      <c r="CI133" s="339"/>
      <c r="CJ133" s="339"/>
      <c r="CK133" s="339"/>
      <c r="CL133" s="339">
        <f t="shared" si="56"/>
        <v>0</v>
      </c>
      <c r="CN133" s="339"/>
      <c r="CO133" s="339"/>
      <c r="CP133" s="339"/>
      <c r="CQ133" s="339"/>
      <c r="CR133" s="339"/>
      <c r="CS133" s="339">
        <f t="shared" si="57"/>
        <v>0</v>
      </c>
      <c r="CU133" s="339"/>
      <c r="CV133" s="339"/>
      <c r="CW133" s="339"/>
      <c r="CX133" s="339"/>
      <c r="CY133" s="339"/>
      <c r="CZ133" s="339">
        <f t="shared" si="58"/>
        <v>0</v>
      </c>
      <c r="DB133" s="339"/>
      <c r="DC133" s="339"/>
      <c r="DD133" s="339"/>
      <c r="DE133" s="339"/>
      <c r="DF133" s="339"/>
      <c r="DG133" s="339">
        <f t="shared" si="59"/>
        <v>0</v>
      </c>
      <c r="DI133" s="339"/>
      <c r="DJ133" s="339"/>
      <c r="DK133" s="339"/>
      <c r="DL133" s="339"/>
      <c r="DM133" s="339"/>
      <c r="DN133" s="339">
        <f t="shared" si="60"/>
        <v>0</v>
      </c>
    </row>
    <row r="134" spans="19:118">
      <c r="S134" s="412"/>
      <c r="T134" s="417"/>
      <c r="V134" s="339">
        <v>3.7</v>
      </c>
      <c r="W134" s="339">
        <v>2.9</v>
      </c>
      <c r="X134" s="339"/>
      <c r="Y134" s="339" t="s">
        <v>721</v>
      </c>
      <c r="Z134" s="339">
        <f>K6</f>
        <v>4.75</v>
      </c>
      <c r="AA134" s="339">
        <f t="shared" si="47"/>
        <v>5.98</v>
      </c>
      <c r="AC134" s="339"/>
      <c r="AD134" s="339"/>
      <c r="AE134" s="339"/>
      <c r="AF134" s="339"/>
      <c r="AG134" s="339"/>
      <c r="AH134" s="339">
        <f t="shared" si="48"/>
        <v>0</v>
      </c>
      <c r="AJ134" s="339"/>
      <c r="AK134" s="339"/>
      <c r="AL134" s="339"/>
      <c r="AM134" s="339"/>
      <c r="AN134" s="339"/>
      <c r="AO134" s="339">
        <f t="shared" si="49"/>
        <v>0</v>
      </c>
      <c r="AQ134" s="339"/>
      <c r="AR134" s="339"/>
      <c r="AS134" s="339"/>
      <c r="AT134" s="339"/>
      <c r="AU134" s="339"/>
      <c r="AV134" s="339">
        <f t="shared" si="50"/>
        <v>0</v>
      </c>
      <c r="AX134" s="339"/>
      <c r="AY134" s="339"/>
      <c r="AZ134" s="339"/>
      <c r="BA134" s="339"/>
      <c r="BB134" s="339"/>
      <c r="BC134" s="339">
        <f t="shared" si="51"/>
        <v>0</v>
      </c>
      <c r="BE134" s="339"/>
      <c r="BF134" s="339"/>
      <c r="BG134" s="339"/>
      <c r="BH134" s="339"/>
      <c r="BI134" s="339"/>
      <c r="BJ134" s="339">
        <f t="shared" si="52"/>
        <v>0</v>
      </c>
      <c r="BL134" s="339"/>
      <c r="BM134" s="339"/>
      <c r="BN134" s="339"/>
      <c r="BO134" s="339"/>
      <c r="BP134" s="339"/>
      <c r="BQ134" s="339">
        <f t="shared" si="53"/>
        <v>0</v>
      </c>
      <c r="BS134" s="339"/>
      <c r="BT134" s="339"/>
      <c r="BU134" s="339"/>
      <c r="BV134" s="339"/>
      <c r="BW134" s="339"/>
      <c r="BX134" s="339">
        <f t="shared" si="54"/>
        <v>0</v>
      </c>
      <c r="BZ134" s="339"/>
      <c r="CA134" s="339"/>
      <c r="CB134" s="339"/>
      <c r="CC134" s="339"/>
      <c r="CD134" s="339"/>
      <c r="CE134" s="339">
        <f t="shared" si="55"/>
        <v>0</v>
      </c>
      <c r="CG134" s="339"/>
      <c r="CH134" s="339"/>
      <c r="CI134" s="339"/>
      <c r="CJ134" s="339"/>
      <c r="CK134" s="339"/>
      <c r="CL134" s="339">
        <f t="shared" si="56"/>
        <v>0</v>
      </c>
      <c r="CN134" s="339"/>
      <c r="CO134" s="339"/>
      <c r="CP134" s="339"/>
      <c r="CQ134" s="339"/>
      <c r="CR134" s="339"/>
      <c r="CS134" s="339">
        <f t="shared" si="57"/>
        <v>0</v>
      </c>
      <c r="CU134" s="339"/>
      <c r="CV134" s="339"/>
      <c r="CW134" s="339"/>
      <c r="CX134" s="339"/>
      <c r="CY134" s="339"/>
      <c r="CZ134" s="339">
        <f t="shared" si="58"/>
        <v>0</v>
      </c>
      <c r="DB134" s="339"/>
      <c r="DC134" s="339"/>
      <c r="DD134" s="339"/>
      <c r="DE134" s="339"/>
      <c r="DF134" s="339"/>
      <c r="DG134" s="339">
        <f t="shared" si="59"/>
        <v>0</v>
      </c>
      <c r="DI134" s="339"/>
      <c r="DJ134" s="339"/>
      <c r="DK134" s="339"/>
      <c r="DL134" s="339"/>
      <c r="DM134" s="339"/>
      <c r="DN134" s="339">
        <f t="shared" si="60"/>
        <v>0</v>
      </c>
    </row>
    <row r="135" spans="19:118">
      <c r="S135" s="417"/>
      <c r="T135" s="417"/>
      <c r="V135" s="339">
        <v>1.65</v>
      </c>
      <c r="W135" s="339">
        <v>2.9</v>
      </c>
      <c r="X135" s="339"/>
      <c r="Y135" s="339"/>
      <c r="Z135" s="339"/>
      <c r="AA135" s="339">
        <f t="shared" si="47"/>
        <v>4.7849999999999993</v>
      </c>
      <c r="AC135" s="339"/>
      <c r="AD135" s="339"/>
      <c r="AE135" s="339"/>
      <c r="AF135" s="339"/>
      <c r="AG135" s="339"/>
      <c r="AH135" s="339">
        <f t="shared" si="48"/>
        <v>0</v>
      </c>
      <c r="AJ135" s="339"/>
      <c r="AK135" s="339"/>
      <c r="AL135" s="339"/>
      <c r="AM135" s="339"/>
      <c r="AN135" s="339"/>
      <c r="AO135" s="339">
        <f t="shared" si="49"/>
        <v>0</v>
      </c>
      <c r="AQ135" s="339"/>
      <c r="AR135" s="339"/>
      <c r="AS135" s="339"/>
      <c r="AT135" s="339"/>
      <c r="AU135" s="339"/>
      <c r="AV135" s="339">
        <f t="shared" si="50"/>
        <v>0</v>
      </c>
      <c r="AX135" s="339"/>
      <c r="AY135" s="339"/>
      <c r="AZ135" s="339"/>
      <c r="BA135" s="339"/>
      <c r="BB135" s="339"/>
      <c r="BC135" s="339">
        <f t="shared" si="51"/>
        <v>0</v>
      </c>
      <c r="BE135" s="339"/>
      <c r="BF135" s="339"/>
      <c r="BG135" s="339"/>
      <c r="BH135" s="339"/>
      <c r="BI135" s="339"/>
      <c r="BJ135" s="339">
        <f t="shared" si="52"/>
        <v>0</v>
      </c>
      <c r="BL135" s="339"/>
      <c r="BM135" s="339"/>
      <c r="BN135" s="339"/>
      <c r="BO135" s="339"/>
      <c r="BP135" s="339"/>
      <c r="BQ135" s="339">
        <f t="shared" si="53"/>
        <v>0</v>
      </c>
      <c r="BS135" s="339"/>
      <c r="BT135" s="339"/>
      <c r="BU135" s="339"/>
      <c r="BV135" s="339"/>
      <c r="BW135" s="339"/>
      <c r="BX135" s="339">
        <f t="shared" si="54"/>
        <v>0</v>
      </c>
      <c r="BZ135" s="339"/>
      <c r="CA135" s="339"/>
      <c r="CB135" s="339"/>
      <c r="CC135" s="339"/>
      <c r="CD135" s="339"/>
      <c r="CE135" s="339">
        <f t="shared" si="55"/>
        <v>0</v>
      </c>
      <c r="CG135" s="339"/>
      <c r="CH135" s="339"/>
      <c r="CI135" s="339"/>
      <c r="CJ135" s="339"/>
      <c r="CK135" s="339"/>
      <c r="CL135" s="339">
        <f t="shared" si="56"/>
        <v>0</v>
      </c>
      <c r="CN135" s="339"/>
      <c r="CO135" s="339"/>
      <c r="CP135" s="339"/>
      <c r="CQ135" s="339"/>
      <c r="CR135" s="339"/>
      <c r="CS135" s="339">
        <f t="shared" si="57"/>
        <v>0</v>
      </c>
      <c r="CU135" s="339"/>
      <c r="CV135" s="339"/>
      <c r="CW135" s="339"/>
      <c r="CX135" s="339"/>
      <c r="CY135" s="339"/>
      <c r="CZ135" s="339">
        <f t="shared" si="58"/>
        <v>0</v>
      </c>
      <c r="DB135" s="339"/>
      <c r="DC135" s="339"/>
      <c r="DD135" s="339"/>
      <c r="DE135" s="339"/>
      <c r="DF135" s="339"/>
      <c r="DG135" s="339">
        <f t="shared" si="59"/>
        <v>0</v>
      </c>
      <c r="DI135" s="339"/>
      <c r="DJ135" s="339"/>
      <c r="DK135" s="339"/>
      <c r="DL135" s="339"/>
      <c r="DM135" s="339"/>
      <c r="DN135" s="339">
        <f t="shared" si="60"/>
        <v>0</v>
      </c>
    </row>
    <row r="136" spans="19:118">
      <c r="S136" s="417"/>
      <c r="T136" s="417"/>
      <c r="V136" s="339">
        <v>4.5750000000000002</v>
      </c>
      <c r="W136" s="339">
        <v>2.9</v>
      </c>
      <c r="X136" s="339"/>
      <c r="Y136" s="339"/>
      <c r="Z136" s="339"/>
      <c r="AA136" s="339">
        <f t="shared" si="47"/>
        <v>13.2675</v>
      </c>
      <c r="AC136" s="339"/>
      <c r="AD136" s="339"/>
      <c r="AE136" s="339"/>
      <c r="AF136" s="339"/>
      <c r="AG136" s="339"/>
      <c r="AH136" s="339">
        <f t="shared" si="48"/>
        <v>0</v>
      </c>
      <c r="AJ136" s="339"/>
      <c r="AK136" s="339"/>
      <c r="AL136" s="339"/>
      <c r="AM136" s="339"/>
      <c r="AN136" s="339"/>
      <c r="AO136" s="339">
        <f t="shared" si="49"/>
        <v>0</v>
      </c>
      <c r="AQ136" s="339"/>
      <c r="AR136" s="339"/>
      <c r="AS136" s="339"/>
      <c r="AT136" s="339"/>
      <c r="AU136" s="339"/>
      <c r="AV136" s="339">
        <f t="shared" si="50"/>
        <v>0</v>
      </c>
      <c r="AX136" s="339"/>
      <c r="AY136" s="339"/>
      <c r="AZ136" s="339"/>
      <c r="BA136" s="339"/>
      <c r="BB136" s="339"/>
      <c r="BC136" s="339">
        <f t="shared" si="51"/>
        <v>0</v>
      </c>
      <c r="BE136" s="339"/>
      <c r="BF136" s="339"/>
      <c r="BG136" s="339"/>
      <c r="BH136" s="339"/>
      <c r="BI136" s="339"/>
      <c r="BJ136" s="339">
        <f t="shared" si="52"/>
        <v>0</v>
      </c>
      <c r="BL136" s="339"/>
      <c r="BM136" s="339"/>
      <c r="BN136" s="339"/>
      <c r="BO136" s="339"/>
      <c r="BP136" s="339"/>
      <c r="BQ136" s="339">
        <f t="shared" si="53"/>
        <v>0</v>
      </c>
      <c r="BS136" s="339"/>
      <c r="BT136" s="339"/>
      <c r="BU136" s="339"/>
      <c r="BV136" s="339"/>
      <c r="BW136" s="339"/>
      <c r="BX136" s="339">
        <f t="shared" si="54"/>
        <v>0</v>
      </c>
      <c r="BZ136" s="339"/>
      <c r="CA136" s="339"/>
      <c r="CB136" s="339"/>
      <c r="CC136" s="339"/>
      <c r="CD136" s="339"/>
      <c r="CE136" s="339">
        <f t="shared" si="55"/>
        <v>0</v>
      </c>
      <c r="CG136" s="339"/>
      <c r="CH136" s="339"/>
      <c r="CI136" s="339"/>
      <c r="CJ136" s="339"/>
      <c r="CK136" s="339"/>
      <c r="CL136" s="339">
        <f t="shared" si="56"/>
        <v>0</v>
      </c>
      <c r="CN136" s="339"/>
      <c r="CO136" s="339"/>
      <c r="CP136" s="339"/>
      <c r="CQ136" s="339"/>
      <c r="CR136" s="339"/>
      <c r="CS136" s="339">
        <f t="shared" si="57"/>
        <v>0</v>
      </c>
      <c r="CU136" s="339"/>
      <c r="CV136" s="339"/>
      <c r="CW136" s="339"/>
      <c r="CX136" s="339"/>
      <c r="CY136" s="339"/>
      <c r="CZ136" s="339">
        <f t="shared" si="58"/>
        <v>0</v>
      </c>
      <c r="DB136" s="339"/>
      <c r="DC136" s="339"/>
      <c r="DD136" s="339"/>
      <c r="DE136" s="339"/>
      <c r="DF136" s="339"/>
      <c r="DG136" s="339">
        <f t="shared" si="59"/>
        <v>0</v>
      </c>
      <c r="DI136" s="339"/>
      <c r="DJ136" s="339"/>
      <c r="DK136" s="339"/>
      <c r="DL136" s="339"/>
      <c r="DM136" s="339"/>
      <c r="DN136" s="339">
        <f t="shared" si="60"/>
        <v>0</v>
      </c>
    </row>
    <row r="137" spans="19:118">
      <c r="S137" s="417"/>
      <c r="T137" s="417"/>
      <c r="V137" s="339">
        <v>1.65</v>
      </c>
      <c r="W137" s="339">
        <v>2.9</v>
      </c>
      <c r="X137" s="339"/>
      <c r="Y137" s="339"/>
      <c r="Z137" s="339"/>
      <c r="AA137" s="339">
        <f t="shared" si="47"/>
        <v>4.7849999999999993</v>
      </c>
      <c r="AC137" s="339"/>
      <c r="AD137" s="339"/>
      <c r="AE137" s="339"/>
      <c r="AF137" s="339"/>
      <c r="AG137" s="339"/>
      <c r="AH137" s="339">
        <f t="shared" si="48"/>
        <v>0</v>
      </c>
      <c r="AJ137" s="339"/>
      <c r="AK137" s="339"/>
      <c r="AL137" s="339"/>
      <c r="AM137" s="339"/>
      <c r="AN137" s="339"/>
      <c r="AO137" s="339">
        <f t="shared" si="49"/>
        <v>0</v>
      </c>
      <c r="AQ137" s="339"/>
      <c r="AR137" s="339"/>
      <c r="AS137" s="339"/>
      <c r="AT137" s="339"/>
      <c r="AU137" s="339"/>
      <c r="AV137" s="339">
        <f t="shared" si="50"/>
        <v>0</v>
      </c>
      <c r="AX137" s="339"/>
      <c r="AY137" s="339"/>
      <c r="AZ137" s="339"/>
      <c r="BA137" s="339"/>
      <c r="BB137" s="339"/>
      <c r="BC137" s="339">
        <f t="shared" si="51"/>
        <v>0</v>
      </c>
      <c r="BE137" s="339"/>
      <c r="BF137" s="339"/>
      <c r="BG137" s="339"/>
      <c r="BH137" s="339"/>
      <c r="BI137" s="339"/>
      <c r="BJ137" s="339">
        <f t="shared" si="52"/>
        <v>0</v>
      </c>
      <c r="BL137" s="339"/>
      <c r="BM137" s="339"/>
      <c r="BN137" s="339"/>
      <c r="BO137" s="339"/>
      <c r="BP137" s="339"/>
      <c r="BQ137" s="339">
        <f t="shared" si="53"/>
        <v>0</v>
      </c>
      <c r="BS137" s="339"/>
      <c r="BT137" s="339"/>
      <c r="BU137" s="339"/>
      <c r="BV137" s="339"/>
      <c r="BW137" s="339"/>
      <c r="BX137" s="339">
        <f t="shared" si="54"/>
        <v>0</v>
      </c>
      <c r="BZ137" s="339"/>
      <c r="CA137" s="339"/>
      <c r="CB137" s="339"/>
      <c r="CC137" s="339"/>
      <c r="CD137" s="339"/>
      <c r="CE137" s="339">
        <f t="shared" si="55"/>
        <v>0</v>
      </c>
      <c r="CG137" s="339"/>
      <c r="CH137" s="339"/>
      <c r="CI137" s="339"/>
      <c r="CJ137" s="339"/>
      <c r="CK137" s="339"/>
      <c r="CL137" s="339">
        <f t="shared" si="56"/>
        <v>0</v>
      </c>
      <c r="CN137" s="339"/>
      <c r="CO137" s="339"/>
      <c r="CP137" s="339"/>
      <c r="CQ137" s="339"/>
      <c r="CR137" s="339"/>
      <c r="CS137" s="339">
        <f t="shared" si="57"/>
        <v>0</v>
      </c>
      <c r="CU137" s="339"/>
      <c r="CV137" s="339"/>
      <c r="CW137" s="339"/>
      <c r="CX137" s="339"/>
      <c r="CY137" s="339"/>
      <c r="CZ137" s="339">
        <f t="shared" si="58"/>
        <v>0</v>
      </c>
      <c r="DB137" s="339"/>
      <c r="DC137" s="339"/>
      <c r="DD137" s="339"/>
      <c r="DE137" s="339"/>
      <c r="DF137" s="339"/>
      <c r="DG137" s="339">
        <f t="shared" si="59"/>
        <v>0</v>
      </c>
      <c r="DI137" s="339"/>
      <c r="DJ137" s="339"/>
      <c r="DK137" s="339"/>
      <c r="DL137" s="339"/>
      <c r="DM137" s="339"/>
      <c r="DN137" s="339">
        <f t="shared" si="60"/>
        <v>0</v>
      </c>
    </row>
    <row r="138" spans="19:118">
      <c r="S138" s="412"/>
      <c r="T138" s="412"/>
      <c r="V138" s="339">
        <v>4.5750000000000002</v>
      </c>
      <c r="W138" s="339">
        <v>2.9</v>
      </c>
      <c r="X138" s="339"/>
      <c r="Y138" s="339"/>
      <c r="Z138" s="339"/>
      <c r="AA138" s="339">
        <f t="shared" si="47"/>
        <v>13.2675</v>
      </c>
      <c r="AC138" s="339"/>
      <c r="AD138" s="339"/>
      <c r="AE138" s="339"/>
      <c r="AF138" s="339"/>
      <c r="AG138" s="339"/>
      <c r="AH138" s="339">
        <f t="shared" si="48"/>
        <v>0</v>
      </c>
      <c r="AJ138" s="339"/>
      <c r="AK138" s="339"/>
      <c r="AL138" s="339"/>
      <c r="AM138" s="339"/>
      <c r="AN138" s="339"/>
      <c r="AO138" s="339">
        <f t="shared" si="49"/>
        <v>0</v>
      </c>
      <c r="AQ138" s="339"/>
      <c r="AR138" s="339"/>
      <c r="AS138" s="339"/>
      <c r="AT138" s="339"/>
      <c r="AU138" s="339"/>
      <c r="AV138" s="339">
        <f t="shared" si="50"/>
        <v>0</v>
      </c>
      <c r="AX138" s="339"/>
      <c r="AY138" s="339"/>
      <c r="AZ138" s="339"/>
      <c r="BA138" s="339"/>
      <c r="BB138" s="339"/>
      <c r="BC138" s="339">
        <f t="shared" si="51"/>
        <v>0</v>
      </c>
      <c r="BE138" s="339"/>
      <c r="BF138" s="339"/>
      <c r="BG138" s="339"/>
      <c r="BH138" s="339"/>
      <c r="BI138" s="339"/>
      <c r="BJ138" s="339">
        <f t="shared" si="52"/>
        <v>0</v>
      </c>
      <c r="BL138" s="339"/>
      <c r="BM138" s="339"/>
      <c r="BN138" s="339"/>
      <c r="BO138" s="339"/>
      <c r="BP138" s="339"/>
      <c r="BQ138" s="339">
        <f t="shared" si="53"/>
        <v>0</v>
      </c>
      <c r="BS138" s="339"/>
      <c r="BT138" s="339"/>
      <c r="BU138" s="339"/>
      <c r="BV138" s="339"/>
      <c r="BW138" s="339"/>
      <c r="BX138" s="339">
        <f t="shared" si="54"/>
        <v>0</v>
      </c>
      <c r="BZ138" s="339"/>
      <c r="CA138" s="339"/>
      <c r="CB138" s="339"/>
      <c r="CC138" s="339"/>
      <c r="CD138" s="339"/>
      <c r="CE138" s="339">
        <f t="shared" si="55"/>
        <v>0</v>
      </c>
      <c r="CG138" s="339"/>
      <c r="CH138" s="339"/>
      <c r="CI138" s="339"/>
      <c r="CJ138" s="339"/>
      <c r="CK138" s="339"/>
      <c r="CL138" s="339">
        <f t="shared" si="56"/>
        <v>0</v>
      </c>
      <c r="CN138" s="339"/>
      <c r="CO138" s="339"/>
      <c r="CP138" s="339"/>
      <c r="CQ138" s="339"/>
      <c r="CR138" s="339"/>
      <c r="CS138" s="339">
        <f t="shared" si="57"/>
        <v>0</v>
      </c>
      <c r="CU138" s="339"/>
      <c r="CV138" s="339"/>
      <c r="CW138" s="339"/>
      <c r="CX138" s="339"/>
      <c r="CY138" s="339"/>
      <c r="CZ138" s="339">
        <f t="shared" si="58"/>
        <v>0</v>
      </c>
      <c r="DB138" s="339"/>
      <c r="DC138" s="339"/>
      <c r="DD138" s="339"/>
      <c r="DE138" s="339"/>
      <c r="DF138" s="339"/>
      <c r="DG138" s="339">
        <f t="shared" si="59"/>
        <v>0</v>
      </c>
      <c r="DI138" s="339"/>
      <c r="DJ138" s="339"/>
      <c r="DK138" s="339"/>
      <c r="DL138" s="339"/>
      <c r="DM138" s="339"/>
      <c r="DN138" s="339">
        <f t="shared" si="60"/>
        <v>0</v>
      </c>
    </row>
    <row r="139" spans="19:118">
      <c r="S139" s="412"/>
      <c r="T139" s="412"/>
      <c r="V139" s="339">
        <v>3.7</v>
      </c>
      <c r="W139" s="339">
        <v>2.9</v>
      </c>
      <c r="X139" s="339"/>
      <c r="Y139" s="339"/>
      <c r="Z139" s="339"/>
      <c r="AA139" s="339">
        <f t="shared" si="47"/>
        <v>10.73</v>
      </c>
      <c r="AC139" s="339"/>
      <c r="AD139" s="339"/>
      <c r="AE139" s="339"/>
      <c r="AF139" s="339"/>
      <c r="AG139" s="339"/>
      <c r="AH139" s="339">
        <f t="shared" si="48"/>
        <v>0</v>
      </c>
      <c r="AJ139" s="339"/>
      <c r="AK139" s="339"/>
      <c r="AL139" s="339"/>
      <c r="AM139" s="339"/>
      <c r="AN139" s="339"/>
      <c r="AO139" s="339">
        <f t="shared" si="49"/>
        <v>0</v>
      </c>
      <c r="AQ139" s="339"/>
      <c r="AR139" s="339"/>
      <c r="AS139" s="339"/>
      <c r="AT139" s="339"/>
      <c r="AU139" s="339"/>
      <c r="AV139" s="339">
        <f t="shared" si="50"/>
        <v>0</v>
      </c>
      <c r="AX139" s="339"/>
      <c r="AY139" s="339"/>
      <c r="AZ139" s="339"/>
      <c r="BA139" s="339"/>
      <c r="BB139" s="339"/>
      <c r="BC139" s="339">
        <f t="shared" si="51"/>
        <v>0</v>
      </c>
      <c r="BE139" s="339"/>
      <c r="BF139" s="339"/>
      <c r="BG139" s="339"/>
      <c r="BH139" s="339"/>
      <c r="BI139" s="339"/>
      <c r="BJ139" s="339">
        <f t="shared" si="52"/>
        <v>0</v>
      </c>
      <c r="BL139" s="339"/>
      <c r="BM139" s="339"/>
      <c r="BN139" s="339"/>
      <c r="BO139" s="339"/>
      <c r="BP139" s="339"/>
      <c r="BQ139" s="339">
        <f t="shared" si="53"/>
        <v>0</v>
      </c>
      <c r="BS139" s="339"/>
      <c r="BT139" s="339"/>
      <c r="BU139" s="339"/>
      <c r="BV139" s="339"/>
      <c r="BW139" s="339"/>
      <c r="BX139" s="339">
        <f t="shared" si="54"/>
        <v>0</v>
      </c>
      <c r="BZ139" s="339"/>
      <c r="CA139" s="339"/>
      <c r="CB139" s="339"/>
      <c r="CC139" s="339"/>
      <c r="CD139" s="339"/>
      <c r="CE139" s="339">
        <f t="shared" si="55"/>
        <v>0</v>
      </c>
      <c r="CG139" s="339"/>
      <c r="CH139" s="339"/>
      <c r="CI139" s="339"/>
      <c r="CJ139" s="339"/>
      <c r="CK139" s="339"/>
      <c r="CL139" s="339">
        <f t="shared" si="56"/>
        <v>0</v>
      </c>
      <c r="CN139" s="339"/>
      <c r="CO139" s="339"/>
      <c r="CP139" s="339"/>
      <c r="CQ139" s="339"/>
      <c r="CR139" s="339"/>
      <c r="CS139" s="339">
        <f t="shared" si="57"/>
        <v>0</v>
      </c>
      <c r="CU139" s="339"/>
      <c r="CV139" s="339"/>
      <c r="CW139" s="339"/>
      <c r="CX139" s="339"/>
      <c r="CY139" s="339"/>
      <c r="CZ139" s="339">
        <f t="shared" si="58"/>
        <v>0</v>
      </c>
      <c r="DB139" s="339"/>
      <c r="DC139" s="339"/>
      <c r="DD139" s="339"/>
      <c r="DE139" s="339"/>
      <c r="DF139" s="339"/>
      <c r="DG139" s="339">
        <f t="shared" si="59"/>
        <v>0</v>
      </c>
      <c r="DI139" s="339"/>
      <c r="DJ139" s="339"/>
      <c r="DK139" s="339"/>
      <c r="DL139" s="339"/>
      <c r="DM139" s="339"/>
      <c r="DN139" s="339">
        <f t="shared" si="60"/>
        <v>0</v>
      </c>
    </row>
    <row r="140" spans="19:118">
      <c r="S140" s="412"/>
      <c r="T140" s="412"/>
      <c r="V140" s="339">
        <v>3.7</v>
      </c>
      <c r="W140" s="339">
        <v>2.9</v>
      </c>
      <c r="X140" s="339"/>
      <c r="Y140" s="339"/>
      <c r="Z140" s="339"/>
      <c r="AA140" s="339">
        <f t="shared" si="47"/>
        <v>10.73</v>
      </c>
      <c r="AC140" s="339"/>
      <c r="AD140" s="339"/>
      <c r="AE140" s="339"/>
      <c r="AF140" s="339"/>
      <c r="AG140" s="339"/>
      <c r="AH140" s="339">
        <f t="shared" si="48"/>
        <v>0</v>
      </c>
      <c r="AJ140" s="339"/>
      <c r="AK140" s="339"/>
      <c r="AL140" s="339"/>
      <c r="AM140" s="339"/>
      <c r="AN140" s="339"/>
      <c r="AO140" s="339">
        <f t="shared" si="49"/>
        <v>0</v>
      </c>
      <c r="AQ140" s="339"/>
      <c r="AR140" s="339"/>
      <c r="AS140" s="339"/>
      <c r="AT140" s="339"/>
      <c r="AU140" s="339"/>
      <c r="AV140" s="339">
        <f t="shared" si="50"/>
        <v>0</v>
      </c>
      <c r="AX140" s="339"/>
      <c r="AY140" s="339"/>
      <c r="AZ140" s="339"/>
      <c r="BA140" s="339"/>
      <c r="BB140" s="339"/>
      <c r="BC140" s="339">
        <f t="shared" si="51"/>
        <v>0</v>
      </c>
      <c r="BE140" s="339"/>
      <c r="BF140" s="339"/>
      <c r="BG140" s="339"/>
      <c r="BH140" s="339"/>
      <c r="BI140" s="339"/>
      <c r="BJ140" s="339">
        <f t="shared" si="52"/>
        <v>0</v>
      </c>
      <c r="BL140" s="339"/>
      <c r="BM140" s="339"/>
      <c r="BN140" s="339"/>
      <c r="BO140" s="339"/>
      <c r="BP140" s="339"/>
      <c r="BQ140" s="339">
        <f t="shared" si="53"/>
        <v>0</v>
      </c>
      <c r="BS140" s="339"/>
      <c r="BT140" s="339"/>
      <c r="BU140" s="339"/>
      <c r="BV140" s="339"/>
      <c r="BW140" s="339"/>
      <c r="BX140" s="339">
        <f t="shared" si="54"/>
        <v>0</v>
      </c>
      <c r="BZ140" s="339"/>
      <c r="CA140" s="339"/>
      <c r="CB140" s="339"/>
      <c r="CC140" s="339"/>
      <c r="CD140" s="339"/>
      <c r="CE140" s="339">
        <f t="shared" si="55"/>
        <v>0</v>
      </c>
      <c r="CG140" s="339"/>
      <c r="CH140" s="339"/>
      <c r="CI140" s="339"/>
      <c r="CJ140" s="339"/>
      <c r="CK140" s="339"/>
      <c r="CL140" s="339">
        <f t="shared" si="56"/>
        <v>0</v>
      </c>
      <c r="CN140" s="339"/>
      <c r="CO140" s="339"/>
      <c r="CP140" s="339"/>
      <c r="CQ140" s="339"/>
      <c r="CR140" s="339"/>
      <c r="CS140" s="339">
        <f t="shared" si="57"/>
        <v>0</v>
      </c>
      <c r="CU140" s="339"/>
      <c r="CV140" s="339"/>
      <c r="CW140" s="339"/>
      <c r="CX140" s="339"/>
      <c r="CY140" s="339"/>
      <c r="CZ140" s="339">
        <f t="shared" si="58"/>
        <v>0</v>
      </c>
      <c r="DB140" s="339"/>
      <c r="DC140" s="339"/>
      <c r="DD140" s="339"/>
      <c r="DE140" s="339"/>
      <c r="DF140" s="339"/>
      <c r="DG140" s="339">
        <f t="shared" si="59"/>
        <v>0</v>
      </c>
      <c r="DI140" s="339"/>
      <c r="DJ140" s="339"/>
      <c r="DK140" s="339"/>
      <c r="DL140" s="339"/>
      <c r="DM140" s="339"/>
      <c r="DN140" s="339">
        <f t="shared" si="60"/>
        <v>0</v>
      </c>
    </row>
    <row r="141" spans="19:118">
      <c r="S141" s="412"/>
      <c r="T141" s="412"/>
      <c r="V141" s="339">
        <v>3.7</v>
      </c>
      <c r="W141" s="339">
        <v>2.9</v>
      </c>
      <c r="X141" s="339"/>
      <c r="Y141" s="339"/>
      <c r="Z141" s="339"/>
      <c r="AA141" s="339">
        <f t="shared" si="47"/>
        <v>10.73</v>
      </c>
      <c r="AC141" s="339"/>
      <c r="AD141" s="339"/>
      <c r="AE141" s="339"/>
      <c r="AF141" s="339"/>
      <c r="AG141" s="339"/>
      <c r="AH141" s="339">
        <f t="shared" si="48"/>
        <v>0</v>
      </c>
      <c r="AJ141" s="339"/>
      <c r="AK141" s="339"/>
      <c r="AL141" s="339"/>
      <c r="AM141" s="339"/>
      <c r="AN141" s="339"/>
      <c r="AO141" s="339">
        <f t="shared" si="49"/>
        <v>0</v>
      </c>
      <c r="AQ141" s="339"/>
      <c r="AR141" s="339"/>
      <c r="AS141" s="339"/>
      <c r="AT141" s="339"/>
      <c r="AU141" s="339"/>
      <c r="AV141" s="339">
        <f t="shared" si="50"/>
        <v>0</v>
      </c>
      <c r="AX141" s="339"/>
      <c r="AY141" s="339"/>
      <c r="AZ141" s="339"/>
      <c r="BA141" s="339"/>
      <c r="BB141" s="339"/>
      <c r="BC141" s="339">
        <f t="shared" si="51"/>
        <v>0</v>
      </c>
      <c r="BE141" s="339"/>
      <c r="BF141" s="339"/>
      <c r="BG141" s="339"/>
      <c r="BH141" s="339"/>
      <c r="BI141" s="339"/>
      <c r="BJ141" s="339">
        <f t="shared" si="52"/>
        <v>0</v>
      </c>
      <c r="BL141" s="339"/>
      <c r="BM141" s="339"/>
      <c r="BN141" s="339"/>
      <c r="BO141" s="339"/>
      <c r="BP141" s="339"/>
      <c r="BQ141" s="339">
        <f t="shared" si="53"/>
        <v>0</v>
      </c>
      <c r="BS141" s="339"/>
      <c r="BT141" s="339"/>
      <c r="BU141" s="339"/>
      <c r="BV141" s="339"/>
      <c r="BW141" s="339"/>
      <c r="BX141" s="339">
        <f t="shared" si="54"/>
        <v>0</v>
      </c>
      <c r="BZ141" s="339"/>
      <c r="CA141" s="339"/>
      <c r="CB141" s="339"/>
      <c r="CC141" s="339"/>
      <c r="CD141" s="339"/>
      <c r="CE141" s="339">
        <f t="shared" si="55"/>
        <v>0</v>
      </c>
      <c r="CG141" s="339"/>
      <c r="CH141" s="339"/>
      <c r="CI141" s="339"/>
      <c r="CJ141" s="339"/>
      <c r="CK141" s="339"/>
      <c r="CL141" s="339">
        <f t="shared" si="56"/>
        <v>0</v>
      </c>
      <c r="CN141" s="339"/>
      <c r="CO141" s="339"/>
      <c r="CP141" s="339"/>
      <c r="CQ141" s="339"/>
      <c r="CR141" s="339"/>
      <c r="CS141" s="339">
        <f t="shared" si="57"/>
        <v>0</v>
      </c>
      <c r="CU141" s="339"/>
      <c r="CV141" s="339"/>
      <c r="CW141" s="339"/>
      <c r="CX141" s="339"/>
      <c r="CY141" s="339"/>
      <c r="CZ141" s="339">
        <f t="shared" si="58"/>
        <v>0</v>
      </c>
      <c r="DB141" s="339"/>
      <c r="DC141" s="339"/>
      <c r="DD141" s="339"/>
      <c r="DE141" s="339"/>
      <c r="DF141" s="339"/>
      <c r="DG141" s="339">
        <f t="shared" si="59"/>
        <v>0</v>
      </c>
      <c r="DI141" s="339"/>
      <c r="DJ141" s="339"/>
      <c r="DK141" s="339"/>
      <c r="DL141" s="339"/>
      <c r="DM141" s="339"/>
      <c r="DN141" s="339">
        <f t="shared" si="60"/>
        <v>0</v>
      </c>
    </row>
    <row r="142" spans="19:118">
      <c r="S142" s="412"/>
      <c r="T142" s="417"/>
      <c r="V142" s="339">
        <v>1.65</v>
      </c>
      <c r="W142" s="339">
        <v>2.9</v>
      </c>
      <c r="X142" s="339"/>
      <c r="Y142" s="339"/>
      <c r="Z142" s="339"/>
      <c r="AA142" s="339">
        <f t="shared" si="47"/>
        <v>4.7849999999999993</v>
      </c>
      <c r="AC142" s="339"/>
      <c r="AD142" s="339"/>
      <c r="AE142" s="339"/>
      <c r="AF142" s="339"/>
      <c r="AG142" s="339"/>
      <c r="AH142" s="339">
        <f t="shared" si="48"/>
        <v>0</v>
      </c>
      <c r="AJ142" s="339"/>
      <c r="AK142" s="339"/>
      <c r="AL142" s="339"/>
      <c r="AM142" s="339"/>
      <c r="AN142" s="339"/>
      <c r="AO142" s="339">
        <f t="shared" si="49"/>
        <v>0</v>
      </c>
      <c r="AQ142" s="339"/>
      <c r="AR142" s="339"/>
      <c r="AS142" s="339"/>
      <c r="AT142" s="339"/>
      <c r="AU142" s="339"/>
      <c r="AV142" s="339">
        <f t="shared" si="50"/>
        <v>0</v>
      </c>
      <c r="AX142" s="339"/>
      <c r="AY142" s="339"/>
      <c r="AZ142" s="339"/>
      <c r="BA142" s="339"/>
      <c r="BB142" s="339"/>
      <c r="BC142" s="339">
        <f t="shared" si="51"/>
        <v>0</v>
      </c>
      <c r="BE142" s="339"/>
      <c r="BF142" s="339"/>
      <c r="BG142" s="339"/>
      <c r="BH142" s="339"/>
      <c r="BI142" s="339"/>
      <c r="BJ142" s="339">
        <f t="shared" si="52"/>
        <v>0</v>
      </c>
      <c r="BL142" s="339"/>
      <c r="BM142" s="339"/>
      <c r="BN142" s="339"/>
      <c r="BO142" s="339"/>
      <c r="BP142" s="339"/>
      <c r="BQ142" s="339">
        <f t="shared" si="53"/>
        <v>0</v>
      </c>
      <c r="BS142" s="339"/>
      <c r="BT142" s="339"/>
      <c r="BU142" s="339"/>
      <c r="BV142" s="339"/>
      <c r="BW142" s="339"/>
      <c r="BX142" s="339">
        <f t="shared" si="54"/>
        <v>0</v>
      </c>
      <c r="BZ142" s="339"/>
      <c r="CA142" s="339"/>
      <c r="CB142" s="339"/>
      <c r="CC142" s="339"/>
      <c r="CD142" s="339"/>
      <c r="CE142" s="339">
        <f t="shared" si="55"/>
        <v>0</v>
      </c>
      <c r="CG142" s="339"/>
      <c r="CH142" s="339"/>
      <c r="CI142" s="339"/>
      <c r="CJ142" s="339"/>
      <c r="CK142" s="339"/>
      <c r="CL142" s="339">
        <f t="shared" si="56"/>
        <v>0</v>
      </c>
      <c r="CN142" s="339"/>
      <c r="CO142" s="339"/>
      <c r="CP142" s="339"/>
      <c r="CQ142" s="339"/>
      <c r="CR142" s="339"/>
      <c r="CS142" s="339">
        <f t="shared" si="57"/>
        <v>0</v>
      </c>
      <c r="CU142" s="339"/>
      <c r="CV142" s="339"/>
      <c r="CW142" s="339"/>
      <c r="CX142" s="339"/>
      <c r="CY142" s="339"/>
      <c r="CZ142" s="339">
        <f t="shared" si="58"/>
        <v>0</v>
      </c>
      <c r="DB142" s="339"/>
      <c r="DC142" s="339"/>
      <c r="DD142" s="339"/>
      <c r="DE142" s="339"/>
      <c r="DF142" s="339"/>
      <c r="DG142" s="339">
        <f t="shared" si="59"/>
        <v>0</v>
      </c>
      <c r="DI142" s="339"/>
      <c r="DJ142" s="339"/>
      <c r="DK142" s="339"/>
      <c r="DL142" s="339"/>
      <c r="DM142" s="339"/>
      <c r="DN142" s="339">
        <f t="shared" si="60"/>
        <v>0</v>
      </c>
    </row>
    <row r="143" spans="19:118">
      <c r="S143" s="412"/>
      <c r="T143" s="417"/>
      <c r="V143" s="339">
        <v>1.65</v>
      </c>
      <c r="W143" s="339">
        <v>2.9</v>
      </c>
      <c r="X143" s="339"/>
      <c r="Y143" s="339"/>
      <c r="Z143" s="339"/>
      <c r="AA143" s="339">
        <f t="shared" si="47"/>
        <v>4.7849999999999993</v>
      </c>
      <c r="AC143" s="339"/>
      <c r="AD143" s="339"/>
      <c r="AE143" s="339"/>
      <c r="AF143" s="339"/>
      <c r="AG143" s="339"/>
      <c r="AH143" s="339">
        <f t="shared" si="48"/>
        <v>0</v>
      </c>
      <c r="AJ143" s="339"/>
      <c r="AK143" s="339"/>
      <c r="AL143" s="339"/>
      <c r="AM143" s="339"/>
      <c r="AN143" s="339"/>
      <c r="AO143" s="339">
        <f t="shared" si="49"/>
        <v>0</v>
      </c>
      <c r="AQ143" s="339"/>
      <c r="AR143" s="339"/>
      <c r="AS143" s="339"/>
      <c r="AT143" s="339"/>
      <c r="AU143" s="339"/>
      <c r="AV143" s="339">
        <f t="shared" si="50"/>
        <v>0</v>
      </c>
      <c r="AX143" s="339"/>
      <c r="AY143" s="339"/>
      <c r="AZ143" s="339"/>
      <c r="BA143" s="339"/>
      <c r="BB143" s="339"/>
      <c r="BC143" s="339">
        <f t="shared" si="51"/>
        <v>0</v>
      </c>
      <c r="BE143" s="339"/>
      <c r="BF143" s="339"/>
      <c r="BG143" s="339"/>
      <c r="BH143" s="339"/>
      <c r="BI143" s="339"/>
      <c r="BJ143" s="339">
        <f t="shared" si="52"/>
        <v>0</v>
      </c>
      <c r="BL143" s="339"/>
      <c r="BM143" s="339"/>
      <c r="BN143" s="339"/>
      <c r="BO143" s="339"/>
      <c r="BP143" s="339"/>
      <c r="BQ143" s="339">
        <f t="shared" si="53"/>
        <v>0</v>
      </c>
      <c r="BS143" s="339"/>
      <c r="BT143" s="339"/>
      <c r="BU143" s="339"/>
      <c r="BV143" s="339"/>
      <c r="BW143" s="339"/>
      <c r="BX143" s="339">
        <f t="shared" si="54"/>
        <v>0</v>
      </c>
      <c r="BZ143" s="339"/>
      <c r="CA143" s="339"/>
      <c r="CB143" s="339"/>
      <c r="CC143" s="339"/>
      <c r="CD143" s="339"/>
      <c r="CE143" s="339">
        <f t="shared" si="55"/>
        <v>0</v>
      </c>
      <c r="CG143" s="339"/>
      <c r="CH143" s="339"/>
      <c r="CI143" s="339"/>
      <c r="CJ143" s="339"/>
      <c r="CK143" s="339"/>
      <c r="CL143" s="339">
        <f t="shared" si="56"/>
        <v>0</v>
      </c>
      <c r="CN143" s="339"/>
      <c r="CO143" s="339"/>
      <c r="CP143" s="339"/>
      <c r="CQ143" s="339"/>
      <c r="CR143" s="339"/>
      <c r="CS143" s="339">
        <f t="shared" si="57"/>
        <v>0</v>
      </c>
      <c r="CU143" s="339"/>
      <c r="CV143" s="339"/>
      <c r="CW143" s="339"/>
      <c r="CX143" s="339"/>
      <c r="CY143" s="339"/>
      <c r="CZ143" s="339">
        <f t="shared" si="58"/>
        <v>0</v>
      </c>
      <c r="DB143" s="339"/>
      <c r="DC143" s="339"/>
      <c r="DD143" s="339"/>
      <c r="DE143" s="339"/>
      <c r="DF143" s="339"/>
      <c r="DG143" s="339">
        <f t="shared" si="59"/>
        <v>0</v>
      </c>
      <c r="DI143" s="339"/>
      <c r="DJ143" s="339"/>
      <c r="DK143" s="339"/>
      <c r="DL143" s="339"/>
      <c r="DM143" s="339"/>
      <c r="DN143" s="339">
        <f t="shared" si="60"/>
        <v>0</v>
      </c>
    </row>
    <row r="144" spans="19:118">
      <c r="S144" s="412"/>
      <c r="T144" s="417"/>
      <c r="V144" s="339">
        <v>1.9</v>
      </c>
      <c r="W144" s="339">
        <v>2.9</v>
      </c>
      <c r="X144" s="339"/>
      <c r="Y144" s="339"/>
      <c r="Z144" s="339"/>
      <c r="AA144" s="339">
        <f t="shared" si="47"/>
        <v>5.51</v>
      </c>
      <c r="AC144" s="339"/>
      <c r="AD144" s="339"/>
      <c r="AE144" s="339"/>
      <c r="AF144" s="339"/>
      <c r="AG144" s="339"/>
      <c r="AH144" s="339">
        <f t="shared" si="48"/>
        <v>0</v>
      </c>
      <c r="AJ144" s="339"/>
      <c r="AK144" s="339"/>
      <c r="AL144" s="339"/>
      <c r="AM144" s="339"/>
      <c r="AN144" s="339"/>
      <c r="AO144" s="339">
        <f t="shared" si="49"/>
        <v>0</v>
      </c>
      <c r="AQ144" s="339"/>
      <c r="AR144" s="339"/>
      <c r="AS144" s="339"/>
      <c r="AT144" s="339"/>
      <c r="AU144" s="339"/>
      <c r="AV144" s="339">
        <f t="shared" si="50"/>
        <v>0</v>
      </c>
      <c r="AX144" s="339"/>
      <c r="AY144" s="339"/>
      <c r="AZ144" s="339"/>
      <c r="BA144" s="339"/>
      <c r="BB144" s="339"/>
      <c r="BC144" s="339">
        <f t="shared" si="51"/>
        <v>0</v>
      </c>
      <c r="BE144" s="339"/>
      <c r="BF144" s="339"/>
      <c r="BG144" s="339"/>
      <c r="BH144" s="339"/>
      <c r="BI144" s="339"/>
      <c r="BJ144" s="339">
        <f t="shared" si="52"/>
        <v>0</v>
      </c>
      <c r="BL144" s="339"/>
      <c r="BM144" s="339"/>
      <c r="BN144" s="339"/>
      <c r="BO144" s="339"/>
      <c r="BP144" s="339"/>
      <c r="BQ144" s="339">
        <f t="shared" si="53"/>
        <v>0</v>
      </c>
      <c r="BS144" s="339"/>
      <c r="BT144" s="339"/>
      <c r="BU144" s="339"/>
      <c r="BV144" s="339"/>
      <c r="BW144" s="339"/>
      <c r="BX144" s="339">
        <f t="shared" si="54"/>
        <v>0</v>
      </c>
      <c r="BZ144" s="339"/>
      <c r="CA144" s="339"/>
      <c r="CB144" s="339"/>
      <c r="CC144" s="339"/>
      <c r="CD144" s="339"/>
      <c r="CE144" s="339">
        <f t="shared" si="55"/>
        <v>0</v>
      </c>
      <c r="CG144" s="339"/>
      <c r="CH144" s="339"/>
      <c r="CI144" s="339"/>
      <c r="CJ144" s="339"/>
      <c r="CK144" s="339"/>
      <c r="CL144" s="339">
        <f t="shared" si="56"/>
        <v>0</v>
      </c>
      <c r="CN144" s="339"/>
      <c r="CO144" s="339"/>
      <c r="CP144" s="339"/>
      <c r="CQ144" s="339"/>
      <c r="CR144" s="339"/>
      <c r="CS144" s="339">
        <f t="shared" si="57"/>
        <v>0</v>
      </c>
      <c r="CU144" s="339"/>
      <c r="CV144" s="339"/>
      <c r="CW144" s="339"/>
      <c r="CX144" s="339"/>
      <c r="CY144" s="339"/>
      <c r="CZ144" s="339">
        <f t="shared" si="58"/>
        <v>0</v>
      </c>
      <c r="DB144" s="339"/>
      <c r="DC144" s="339"/>
      <c r="DD144" s="339"/>
      <c r="DE144" s="339"/>
      <c r="DF144" s="339"/>
      <c r="DG144" s="339">
        <f t="shared" si="59"/>
        <v>0</v>
      </c>
      <c r="DI144" s="339"/>
      <c r="DJ144" s="339"/>
      <c r="DK144" s="339"/>
      <c r="DL144" s="339"/>
      <c r="DM144" s="339"/>
      <c r="DN144" s="339">
        <f t="shared" si="60"/>
        <v>0</v>
      </c>
    </row>
    <row r="145" spans="19:118">
      <c r="S145" s="417"/>
      <c r="T145" s="417"/>
      <c r="V145" s="339">
        <v>2.2000000000000002</v>
      </c>
      <c r="W145" s="339">
        <v>2.9</v>
      </c>
      <c r="X145" s="339"/>
      <c r="Y145" s="339"/>
      <c r="Z145" s="339"/>
      <c r="AA145" s="339">
        <f t="shared" si="47"/>
        <v>6.38</v>
      </c>
      <c r="AC145" s="339"/>
      <c r="AD145" s="339"/>
      <c r="AE145" s="339"/>
      <c r="AF145" s="339"/>
      <c r="AG145" s="339"/>
      <c r="AH145" s="339">
        <f t="shared" si="48"/>
        <v>0</v>
      </c>
      <c r="AJ145" s="339"/>
      <c r="AK145" s="339"/>
      <c r="AL145" s="339"/>
      <c r="AM145" s="339"/>
      <c r="AN145" s="339"/>
      <c r="AO145" s="339">
        <f t="shared" si="49"/>
        <v>0</v>
      </c>
      <c r="AQ145" s="339"/>
      <c r="AR145" s="339"/>
      <c r="AS145" s="339"/>
      <c r="AT145" s="339"/>
      <c r="AU145" s="339"/>
      <c r="AV145" s="339">
        <f t="shared" si="50"/>
        <v>0</v>
      </c>
      <c r="AX145" s="339"/>
      <c r="AY145" s="339"/>
      <c r="AZ145" s="339"/>
      <c r="BA145" s="339"/>
      <c r="BB145" s="339"/>
      <c r="BC145" s="339">
        <f t="shared" si="51"/>
        <v>0</v>
      </c>
      <c r="BE145" s="339"/>
      <c r="BF145" s="339"/>
      <c r="BG145" s="339"/>
      <c r="BH145" s="339"/>
      <c r="BI145" s="339"/>
      <c r="BJ145" s="339">
        <f t="shared" si="52"/>
        <v>0</v>
      </c>
      <c r="BL145" s="339"/>
      <c r="BM145" s="339"/>
      <c r="BN145" s="339"/>
      <c r="BO145" s="339"/>
      <c r="BP145" s="339"/>
      <c r="BQ145" s="339">
        <f t="shared" si="53"/>
        <v>0</v>
      </c>
      <c r="BS145" s="339"/>
      <c r="BT145" s="339"/>
      <c r="BU145" s="339"/>
      <c r="BV145" s="339"/>
      <c r="BW145" s="339"/>
      <c r="BX145" s="339">
        <f t="shared" si="54"/>
        <v>0</v>
      </c>
      <c r="BZ145" s="339"/>
      <c r="CA145" s="339"/>
      <c r="CB145" s="339"/>
      <c r="CC145" s="339"/>
      <c r="CD145" s="339"/>
      <c r="CE145" s="339">
        <f t="shared" si="55"/>
        <v>0</v>
      </c>
      <c r="CG145" s="339"/>
      <c r="CH145" s="339"/>
      <c r="CI145" s="339"/>
      <c r="CJ145" s="339"/>
      <c r="CK145" s="339"/>
      <c r="CL145" s="339">
        <f t="shared" si="56"/>
        <v>0</v>
      </c>
      <c r="CN145" s="339"/>
      <c r="CO145" s="339"/>
      <c r="CP145" s="339"/>
      <c r="CQ145" s="339"/>
      <c r="CR145" s="339"/>
      <c r="CS145" s="339">
        <f t="shared" si="57"/>
        <v>0</v>
      </c>
      <c r="CU145" s="339"/>
      <c r="CV145" s="339"/>
      <c r="CW145" s="339"/>
      <c r="CX145" s="339"/>
      <c r="CY145" s="339"/>
      <c r="CZ145" s="339">
        <f t="shared" si="58"/>
        <v>0</v>
      </c>
      <c r="DB145" s="339"/>
      <c r="DC145" s="339"/>
      <c r="DD145" s="339"/>
      <c r="DE145" s="339"/>
      <c r="DF145" s="339"/>
      <c r="DG145" s="339">
        <f t="shared" si="59"/>
        <v>0</v>
      </c>
      <c r="DI145" s="339"/>
      <c r="DJ145" s="339"/>
      <c r="DK145" s="339"/>
      <c r="DL145" s="339"/>
      <c r="DM145" s="339"/>
      <c r="DN145" s="339">
        <f t="shared" si="60"/>
        <v>0</v>
      </c>
    </row>
    <row r="146" spans="19:118">
      <c r="S146" s="417"/>
      <c r="T146" s="417"/>
      <c r="V146" s="339">
        <v>3.7</v>
      </c>
      <c r="W146" s="339">
        <v>2.9</v>
      </c>
      <c r="X146" s="339"/>
      <c r="Y146" s="339"/>
      <c r="Z146" s="339"/>
      <c r="AA146" s="339">
        <f t="shared" si="47"/>
        <v>10.73</v>
      </c>
      <c r="AC146" s="339"/>
      <c r="AD146" s="339"/>
      <c r="AE146" s="339"/>
      <c r="AF146" s="339"/>
      <c r="AG146" s="339"/>
      <c r="AH146" s="339">
        <f t="shared" si="48"/>
        <v>0</v>
      </c>
      <c r="AJ146" s="339"/>
      <c r="AK146" s="339"/>
      <c r="AL146" s="339"/>
      <c r="AM146" s="339"/>
      <c r="AN146" s="339"/>
      <c r="AO146" s="339">
        <f t="shared" si="49"/>
        <v>0</v>
      </c>
      <c r="AQ146" s="339"/>
      <c r="AR146" s="339"/>
      <c r="AS146" s="339"/>
      <c r="AT146" s="339"/>
      <c r="AU146" s="339"/>
      <c r="AV146" s="339">
        <f t="shared" si="50"/>
        <v>0</v>
      </c>
      <c r="AX146" s="339"/>
      <c r="AY146" s="339"/>
      <c r="AZ146" s="339"/>
      <c r="BA146" s="339"/>
      <c r="BB146" s="339"/>
      <c r="BC146" s="339">
        <f t="shared" si="51"/>
        <v>0</v>
      </c>
      <c r="BE146" s="339"/>
      <c r="BF146" s="339"/>
      <c r="BG146" s="339"/>
      <c r="BH146" s="339"/>
      <c r="BI146" s="339"/>
      <c r="BJ146" s="339">
        <f t="shared" si="52"/>
        <v>0</v>
      </c>
      <c r="BL146" s="339"/>
      <c r="BM146" s="339"/>
      <c r="BN146" s="339"/>
      <c r="BO146" s="339"/>
      <c r="BP146" s="339"/>
      <c r="BQ146" s="339">
        <f t="shared" si="53"/>
        <v>0</v>
      </c>
      <c r="BS146" s="339"/>
      <c r="BT146" s="339"/>
      <c r="BU146" s="339"/>
      <c r="BV146" s="339"/>
      <c r="BW146" s="339"/>
      <c r="BX146" s="339">
        <f t="shared" si="54"/>
        <v>0</v>
      </c>
      <c r="BZ146" s="339"/>
      <c r="CA146" s="339"/>
      <c r="CB146" s="339"/>
      <c r="CC146" s="339"/>
      <c r="CD146" s="339"/>
      <c r="CE146" s="339">
        <f t="shared" si="55"/>
        <v>0</v>
      </c>
      <c r="CG146" s="339"/>
      <c r="CH146" s="339"/>
      <c r="CI146" s="339"/>
      <c r="CJ146" s="339"/>
      <c r="CK146" s="339"/>
      <c r="CL146" s="339">
        <f t="shared" si="56"/>
        <v>0</v>
      </c>
      <c r="CN146" s="339"/>
      <c r="CO146" s="339"/>
      <c r="CP146" s="339"/>
      <c r="CQ146" s="339"/>
      <c r="CR146" s="339"/>
      <c r="CS146" s="339">
        <f t="shared" si="57"/>
        <v>0</v>
      </c>
      <c r="CU146" s="339"/>
      <c r="CV146" s="339"/>
      <c r="CW146" s="339"/>
      <c r="CX146" s="339"/>
      <c r="CY146" s="339"/>
      <c r="CZ146" s="339">
        <f t="shared" si="58"/>
        <v>0</v>
      </c>
      <c r="DB146" s="339"/>
      <c r="DC146" s="339"/>
      <c r="DD146" s="339"/>
      <c r="DE146" s="339"/>
      <c r="DF146" s="339"/>
      <c r="DG146" s="339">
        <f t="shared" si="59"/>
        <v>0</v>
      </c>
      <c r="DI146" s="339"/>
      <c r="DJ146" s="339"/>
      <c r="DK146" s="339"/>
      <c r="DL146" s="339"/>
      <c r="DM146" s="339"/>
      <c r="DN146" s="339">
        <f t="shared" si="60"/>
        <v>0</v>
      </c>
    </row>
    <row r="147" spans="19:118">
      <c r="S147" s="417"/>
      <c r="T147" s="417"/>
      <c r="V147" s="339">
        <v>3.7</v>
      </c>
      <c r="W147" s="339">
        <v>2.9</v>
      </c>
      <c r="X147" s="339"/>
      <c r="Y147" s="339"/>
      <c r="Z147" s="339"/>
      <c r="AA147" s="339">
        <f t="shared" si="47"/>
        <v>10.73</v>
      </c>
      <c r="AC147" s="339"/>
      <c r="AD147" s="339"/>
      <c r="AE147" s="339"/>
      <c r="AF147" s="339"/>
      <c r="AG147" s="339"/>
      <c r="AH147" s="339">
        <f t="shared" si="48"/>
        <v>0</v>
      </c>
      <c r="AJ147" s="339"/>
      <c r="AK147" s="339"/>
      <c r="AL147" s="339"/>
      <c r="AM147" s="339"/>
      <c r="AN147" s="339"/>
      <c r="AO147" s="339">
        <f t="shared" si="49"/>
        <v>0</v>
      </c>
      <c r="AQ147" s="339"/>
      <c r="AR147" s="339"/>
      <c r="AS147" s="339"/>
      <c r="AT147" s="339"/>
      <c r="AU147" s="339"/>
      <c r="AV147" s="339">
        <f t="shared" si="50"/>
        <v>0</v>
      </c>
      <c r="AX147" s="339"/>
      <c r="AY147" s="339"/>
      <c r="AZ147" s="339"/>
      <c r="BA147" s="339"/>
      <c r="BB147" s="339"/>
      <c r="BC147" s="339">
        <f t="shared" si="51"/>
        <v>0</v>
      </c>
      <c r="BE147" s="339"/>
      <c r="BF147" s="339"/>
      <c r="BG147" s="339"/>
      <c r="BH147" s="339"/>
      <c r="BI147" s="339"/>
      <c r="BJ147" s="339">
        <f t="shared" si="52"/>
        <v>0</v>
      </c>
      <c r="BL147" s="339"/>
      <c r="BM147" s="339"/>
      <c r="BN147" s="339"/>
      <c r="BO147" s="339"/>
      <c r="BP147" s="339"/>
      <c r="BQ147" s="339">
        <f t="shared" si="53"/>
        <v>0</v>
      </c>
      <c r="BS147" s="339"/>
      <c r="BT147" s="339"/>
      <c r="BU147" s="339"/>
      <c r="BV147" s="339"/>
      <c r="BW147" s="339"/>
      <c r="BX147" s="339">
        <f t="shared" si="54"/>
        <v>0</v>
      </c>
      <c r="BZ147" s="339"/>
      <c r="CA147" s="339"/>
      <c r="CB147" s="339"/>
      <c r="CC147" s="339"/>
      <c r="CD147" s="339"/>
      <c r="CE147" s="339">
        <f t="shared" si="55"/>
        <v>0</v>
      </c>
      <c r="CG147" s="339"/>
      <c r="CH147" s="339"/>
      <c r="CI147" s="339"/>
      <c r="CJ147" s="339"/>
      <c r="CK147" s="339"/>
      <c r="CL147" s="339">
        <f t="shared" si="56"/>
        <v>0</v>
      </c>
      <c r="CN147" s="339"/>
      <c r="CO147" s="339"/>
      <c r="CP147" s="339"/>
      <c r="CQ147" s="339"/>
      <c r="CR147" s="339"/>
      <c r="CS147" s="339">
        <f t="shared" si="57"/>
        <v>0</v>
      </c>
      <c r="CU147" s="339"/>
      <c r="CV147" s="339"/>
      <c r="CW147" s="339"/>
      <c r="CX147" s="339"/>
      <c r="CY147" s="339"/>
      <c r="CZ147" s="339">
        <f t="shared" si="58"/>
        <v>0</v>
      </c>
      <c r="DB147" s="339"/>
      <c r="DC147" s="339"/>
      <c r="DD147" s="339"/>
      <c r="DE147" s="339"/>
      <c r="DF147" s="339"/>
      <c r="DG147" s="339">
        <f t="shared" si="59"/>
        <v>0</v>
      </c>
      <c r="DI147" s="339"/>
      <c r="DJ147" s="339"/>
      <c r="DK147" s="339"/>
      <c r="DL147" s="339"/>
      <c r="DM147" s="339"/>
      <c r="DN147" s="339">
        <f t="shared" si="60"/>
        <v>0</v>
      </c>
    </row>
    <row r="148" spans="19:118">
      <c r="S148" s="412"/>
      <c r="T148" s="412"/>
      <c r="V148" s="339">
        <v>3.7</v>
      </c>
      <c r="W148" s="339">
        <v>2.9</v>
      </c>
      <c r="X148" s="339"/>
      <c r="Y148" s="339"/>
      <c r="Z148" s="339"/>
      <c r="AA148" s="339">
        <f t="shared" si="47"/>
        <v>10.73</v>
      </c>
      <c r="AC148" s="339"/>
      <c r="AD148" s="339"/>
      <c r="AE148" s="339"/>
      <c r="AF148" s="339"/>
      <c r="AG148" s="339"/>
      <c r="AH148" s="339">
        <f t="shared" si="48"/>
        <v>0</v>
      </c>
      <c r="AJ148" s="339"/>
      <c r="AK148" s="339"/>
      <c r="AL148" s="339"/>
      <c r="AM148" s="339"/>
      <c r="AN148" s="339"/>
      <c r="AO148" s="339">
        <f t="shared" si="49"/>
        <v>0</v>
      </c>
      <c r="AQ148" s="339"/>
      <c r="AR148" s="339"/>
      <c r="AS148" s="339"/>
      <c r="AT148" s="339"/>
      <c r="AU148" s="339"/>
      <c r="AV148" s="339">
        <f t="shared" si="50"/>
        <v>0</v>
      </c>
      <c r="AX148" s="339"/>
      <c r="AY148" s="339"/>
      <c r="AZ148" s="339"/>
      <c r="BA148" s="339"/>
      <c r="BB148" s="339"/>
      <c r="BC148" s="339">
        <f t="shared" si="51"/>
        <v>0</v>
      </c>
      <c r="BE148" s="339"/>
      <c r="BF148" s="339"/>
      <c r="BG148" s="339"/>
      <c r="BH148" s="339"/>
      <c r="BI148" s="339"/>
      <c r="BJ148" s="339">
        <f t="shared" si="52"/>
        <v>0</v>
      </c>
      <c r="BL148" s="339"/>
      <c r="BM148" s="339"/>
      <c r="BN148" s="339"/>
      <c r="BO148" s="339"/>
      <c r="BP148" s="339"/>
      <c r="BQ148" s="339">
        <f t="shared" si="53"/>
        <v>0</v>
      </c>
      <c r="BS148" s="339"/>
      <c r="BT148" s="339"/>
      <c r="BU148" s="339"/>
      <c r="BV148" s="339"/>
      <c r="BW148" s="339"/>
      <c r="BX148" s="339">
        <f t="shared" si="54"/>
        <v>0</v>
      </c>
      <c r="BZ148" s="339"/>
      <c r="CA148" s="339"/>
      <c r="CB148" s="339"/>
      <c r="CC148" s="339"/>
      <c r="CD148" s="339"/>
      <c r="CE148" s="339">
        <f t="shared" si="55"/>
        <v>0</v>
      </c>
      <c r="CG148" s="339"/>
      <c r="CH148" s="339"/>
      <c r="CI148" s="339"/>
      <c r="CJ148" s="339"/>
      <c r="CK148" s="339"/>
      <c r="CL148" s="339">
        <f t="shared" si="56"/>
        <v>0</v>
      </c>
      <c r="CN148" s="339"/>
      <c r="CO148" s="339"/>
      <c r="CP148" s="339"/>
      <c r="CQ148" s="339"/>
      <c r="CR148" s="339"/>
      <c r="CS148" s="339">
        <f t="shared" si="57"/>
        <v>0</v>
      </c>
      <c r="CU148" s="339"/>
      <c r="CV148" s="339"/>
      <c r="CW148" s="339"/>
      <c r="CX148" s="339"/>
      <c r="CY148" s="339"/>
      <c r="CZ148" s="339">
        <f t="shared" si="58"/>
        <v>0</v>
      </c>
      <c r="DB148" s="339"/>
      <c r="DC148" s="339"/>
      <c r="DD148" s="339"/>
      <c r="DE148" s="339"/>
      <c r="DF148" s="339"/>
      <c r="DG148" s="339">
        <f t="shared" si="59"/>
        <v>0</v>
      </c>
      <c r="DI148" s="339"/>
      <c r="DJ148" s="339"/>
      <c r="DK148" s="339"/>
      <c r="DL148" s="339"/>
      <c r="DM148" s="339"/>
      <c r="DN148" s="339">
        <f t="shared" si="60"/>
        <v>0</v>
      </c>
    </row>
    <row r="149" spans="19:118">
      <c r="S149" s="412"/>
      <c r="T149" s="412"/>
      <c r="V149" s="339">
        <v>1.2</v>
      </c>
      <c r="W149" s="339">
        <v>2.9</v>
      </c>
      <c r="X149" s="339"/>
      <c r="Y149" s="339"/>
      <c r="Z149" s="339"/>
      <c r="AA149" s="339">
        <f t="shared" si="47"/>
        <v>3.48</v>
      </c>
      <c r="AC149" s="339"/>
      <c r="AD149" s="339"/>
      <c r="AE149" s="339"/>
      <c r="AF149" s="339"/>
      <c r="AG149" s="339"/>
      <c r="AH149" s="339">
        <f t="shared" si="48"/>
        <v>0</v>
      </c>
      <c r="AJ149" s="339"/>
      <c r="AK149" s="339"/>
      <c r="AL149" s="339"/>
      <c r="AM149" s="339"/>
      <c r="AN149" s="339"/>
      <c r="AO149" s="339">
        <f t="shared" si="49"/>
        <v>0</v>
      </c>
      <c r="AQ149" s="339"/>
      <c r="AR149" s="339"/>
      <c r="AS149" s="339"/>
      <c r="AT149" s="339"/>
      <c r="AU149" s="339"/>
      <c r="AV149" s="339">
        <f t="shared" si="50"/>
        <v>0</v>
      </c>
      <c r="AX149" s="339"/>
      <c r="AY149" s="339"/>
      <c r="AZ149" s="339"/>
      <c r="BA149" s="339"/>
      <c r="BB149" s="339"/>
      <c r="BC149" s="339">
        <f t="shared" si="51"/>
        <v>0</v>
      </c>
      <c r="BE149" s="339"/>
      <c r="BF149" s="339"/>
      <c r="BG149" s="339"/>
      <c r="BH149" s="339"/>
      <c r="BI149" s="339"/>
      <c r="BJ149" s="339">
        <f t="shared" si="52"/>
        <v>0</v>
      </c>
      <c r="BL149" s="339"/>
      <c r="BM149" s="339"/>
      <c r="BN149" s="339"/>
      <c r="BO149" s="339"/>
      <c r="BP149" s="339"/>
      <c r="BQ149" s="339">
        <f t="shared" si="53"/>
        <v>0</v>
      </c>
      <c r="BS149" s="339"/>
      <c r="BT149" s="339"/>
      <c r="BU149" s="339"/>
      <c r="BV149" s="339"/>
      <c r="BW149" s="339"/>
      <c r="BX149" s="339">
        <f t="shared" si="54"/>
        <v>0</v>
      </c>
      <c r="BZ149" s="339"/>
      <c r="CA149" s="339"/>
      <c r="CB149" s="339"/>
      <c r="CC149" s="339"/>
      <c r="CD149" s="339"/>
      <c r="CE149" s="339">
        <f t="shared" si="55"/>
        <v>0</v>
      </c>
      <c r="CG149" s="339"/>
      <c r="CH149" s="339"/>
      <c r="CI149" s="339"/>
      <c r="CJ149" s="339"/>
      <c r="CK149" s="339"/>
      <c r="CL149" s="339">
        <f t="shared" si="56"/>
        <v>0</v>
      </c>
      <c r="CN149" s="339"/>
      <c r="CO149" s="339"/>
      <c r="CP149" s="339"/>
      <c r="CQ149" s="339"/>
      <c r="CR149" s="339"/>
      <c r="CS149" s="339">
        <f t="shared" si="57"/>
        <v>0</v>
      </c>
      <c r="CU149" s="339"/>
      <c r="CV149" s="339"/>
      <c r="CW149" s="339"/>
      <c r="CX149" s="339"/>
      <c r="CY149" s="339"/>
      <c r="CZ149" s="339">
        <f t="shared" si="58"/>
        <v>0</v>
      </c>
      <c r="DB149" s="339"/>
      <c r="DC149" s="339"/>
      <c r="DD149" s="339"/>
      <c r="DE149" s="339"/>
      <c r="DF149" s="339"/>
      <c r="DG149" s="339">
        <f t="shared" si="59"/>
        <v>0</v>
      </c>
      <c r="DI149" s="339"/>
      <c r="DJ149" s="339"/>
      <c r="DK149" s="339"/>
      <c r="DL149" s="339"/>
      <c r="DM149" s="339"/>
      <c r="DN149" s="339">
        <f t="shared" si="60"/>
        <v>0</v>
      </c>
    </row>
    <row r="150" spans="19:118">
      <c r="S150" s="412"/>
      <c r="T150" s="412"/>
      <c r="V150" s="339">
        <v>3.7</v>
      </c>
      <c r="W150" s="339">
        <v>2.9</v>
      </c>
      <c r="X150" s="339"/>
      <c r="Y150" s="339"/>
      <c r="Z150" s="339"/>
      <c r="AA150" s="339">
        <f t="shared" si="47"/>
        <v>10.73</v>
      </c>
      <c r="AC150" s="339"/>
      <c r="AD150" s="339"/>
      <c r="AE150" s="339"/>
      <c r="AF150" s="339"/>
      <c r="AG150" s="339"/>
      <c r="AH150" s="339">
        <f t="shared" si="48"/>
        <v>0</v>
      </c>
      <c r="AJ150" s="339"/>
      <c r="AK150" s="339"/>
      <c r="AL150" s="339"/>
      <c r="AM150" s="339"/>
      <c r="AN150" s="339"/>
      <c r="AO150" s="339">
        <f t="shared" si="49"/>
        <v>0</v>
      </c>
      <c r="AQ150" s="339"/>
      <c r="AR150" s="339"/>
      <c r="AS150" s="339"/>
      <c r="AT150" s="339"/>
      <c r="AU150" s="339"/>
      <c r="AV150" s="339">
        <f t="shared" si="50"/>
        <v>0</v>
      </c>
      <c r="AX150" s="339"/>
      <c r="AY150" s="339"/>
      <c r="AZ150" s="339"/>
      <c r="BA150" s="339"/>
      <c r="BB150" s="339"/>
      <c r="BC150" s="339">
        <f t="shared" si="51"/>
        <v>0</v>
      </c>
      <c r="BE150" s="339"/>
      <c r="BF150" s="339"/>
      <c r="BG150" s="339"/>
      <c r="BH150" s="339"/>
      <c r="BI150" s="339"/>
      <c r="BJ150" s="339">
        <f t="shared" si="52"/>
        <v>0</v>
      </c>
      <c r="BL150" s="339"/>
      <c r="BM150" s="339"/>
      <c r="BN150" s="339"/>
      <c r="BO150" s="339"/>
      <c r="BP150" s="339"/>
      <c r="BQ150" s="339">
        <f t="shared" si="53"/>
        <v>0</v>
      </c>
      <c r="BS150" s="339"/>
      <c r="BT150" s="339"/>
      <c r="BU150" s="339"/>
      <c r="BV150" s="339"/>
      <c r="BW150" s="339"/>
      <c r="BX150" s="339">
        <f t="shared" si="54"/>
        <v>0</v>
      </c>
      <c r="BZ150" s="339"/>
      <c r="CA150" s="339"/>
      <c r="CB150" s="339"/>
      <c r="CC150" s="339"/>
      <c r="CD150" s="339"/>
      <c r="CE150" s="339">
        <f t="shared" si="55"/>
        <v>0</v>
      </c>
      <c r="CG150" s="339"/>
      <c r="CH150" s="339"/>
      <c r="CI150" s="339"/>
      <c r="CJ150" s="339"/>
      <c r="CK150" s="339"/>
      <c r="CL150" s="339">
        <f t="shared" si="56"/>
        <v>0</v>
      </c>
      <c r="CN150" s="339"/>
      <c r="CO150" s="339"/>
      <c r="CP150" s="339"/>
      <c r="CQ150" s="339"/>
      <c r="CR150" s="339"/>
      <c r="CS150" s="339">
        <f t="shared" si="57"/>
        <v>0</v>
      </c>
      <c r="CU150" s="339"/>
      <c r="CV150" s="339"/>
      <c r="CW150" s="339"/>
      <c r="CX150" s="339"/>
      <c r="CY150" s="339"/>
      <c r="CZ150" s="339">
        <f t="shared" si="58"/>
        <v>0</v>
      </c>
      <c r="DB150" s="339"/>
      <c r="DC150" s="339"/>
      <c r="DD150" s="339"/>
      <c r="DE150" s="339"/>
      <c r="DF150" s="339"/>
      <c r="DG150" s="339">
        <f t="shared" si="59"/>
        <v>0</v>
      </c>
      <c r="DI150" s="339"/>
      <c r="DJ150" s="339"/>
      <c r="DK150" s="339"/>
      <c r="DL150" s="339"/>
      <c r="DM150" s="339"/>
      <c r="DN150" s="339">
        <f t="shared" si="60"/>
        <v>0</v>
      </c>
    </row>
    <row r="151" spans="19:118">
      <c r="S151" s="412"/>
      <c r="T151" s="417"/>
      <c r="V151" s="339">
        <v>1.65</v>
      </c>
      <c r="W151" s="339">
        <v>2.9</v>
      </c>
      <c r="X151" s="339"/>
      <c r="Y151" s="339"/>
      <c r="Z151" s="339"/>
      <c r="AA151" s="339">
        <f t="shared" ref="AA151:AA157" si="61">V151*W151+X151-Z151</f>
        <v>4.7849999999999993</v>
      </c>
      <c r="AC151" s="339"/>
      <c r="AD151" s="339"/>
      <c r="AE151" s="339"/>
      <c r="AF151" s="339"/>
      <c r="AG151" s="339"/>
      <c r="AH151" s="339">
        <f t="shared" ref="AH151:AH157" si="62">AC151*AD151+AE151-AG151</f>
        <v>0</v>
      </c>
      <c r="AJ151" s="339"/>
      <c r="AK151" s="339"/>
      <c r="AL151" s="339"/>
      <c r="AM151" s="339"/>
      <c r="AN151" s="339"/>
      <c r="AO151" s="339">
        <f t="shared" ref="AO151:AO157" si="63">AJ151*AK151+AL151-AN151</f>
        <v>0</v>
      </c>
      <c r="AQ151" s="339"/>
      <c r="AR151" s="339"/>
      <c r="AS151" s="339"/>
      <c r="AT151" s="339"/>
      <c r="AU151" s="339"/>
      <c r="AV151" s="339">
        <f t="shared" ref="AV151:AV157" si="64">AQ151*AR151+AS151-AU151</f>
        <v>0</v>
      </c>
      <c r="AX151" s="339"/>
      <c r="AY151" s="339"/>
      <c r="AZ151" s="339"/>
      <c r="BA151" s="339"/>
      <c r="BB151" s="339"/>
      <c r="BC151" s="339">
        <f t="shared" ref="BC151:BC157" si="65">AX151*AY151+AZ151-BB151</f>
        <v>0</v>
      </c>
      <c r="BE151" s="339"/>
      <c r="BF151" s="339"/>
      <c r="BG151" s="339"/>
      <c r="BH151" s="339"/>
      <c r="BI151" s="339"/>
      <c r="BJ151" s="339">
        <f t="shared" ref="BJ151:BJ157" si="66">BE151*BF151+BG151-BI151</f>
        <v>0</v>
      </c>
      <c r="BL151" s="339"/>
      <c r="BM151" s="339"/>
      <c r="BN151" s="339"/>
      <c r="BO151" s="339"/>
      <c r="BP151" s="339"/>
      <c r="BQ151" s="339">
        <f t="shared" ref="BQ151:BQ157" si="67">BL151*BM151+BN151-BP151</f>
        <v>0</v>
      </c>
      <c r="BS151" s="339"/>
      <c r="BT151" s="339"/>
      <c r="BU151" s="339"/>
      <c r="BV151" s="339"/>
      <c r="BW151" s="339"/>
      <c r="BX151" s="339">
        <f t="shared" ref="BX151:BX157" si="68">BS151*BT151+BU151-BW151</f>
        <v>0</v>
      </c>
      <c r="BZ151" s="339"/>
      <c r="CA151" s="339"/>
      <c r="CB151" s="339"/>
      <c r="CC151" s="339"/>
      <c r="CD151" s="339"/>
      <c r="CE151" s="339">
        <f t="shared" ref="CE151:CE157" si="69">BZ151*CA151+CB151-CD151</f>
        <v>0</v>
      </c>
      <c r="CG151" s="339"/>
      <c r="CH151" s="339"/>
      <c r="CI151" s="339"/>
      <c r="CJ151" s="339"/>
      <c r="CK151" s="339"/>
      <c r="CL151" s="339">
        <f t="shared" ref="CL151:CL157" si="70">CG151*CH151+CI151-CK151</f>
        <v>0</v>
      </c>
      <c r="CN151" s="339"/>
      <c r="CO151" s="339"/>
      <c r="CP151" s="339"/>
      <c r="CQ151" s="339"/>
      <c r="CR151" s="339"/>
      <c r="CS151" s="339">
        <f t="shared" ref="CS151:CS157" si="71">CN151*CO151+CP151-CR151</f>
        <v>0</v>
      </c>
      <c r="CU151" s="339"/>
      <c r="CV151" s="339"/>
      <c r="CW151" s="339"/>
      <c r="CX151" s="339"/>
      <c r="CY151" s="339"/>
      <c r="CZ151" s="339">
        <f t="shared" ref="CZ151:CZ157" si="72">CU151*CV151+CW151-CY151</f>
        <v>0</v>
      </c>
      <c r="DB151" s="339"/>
      <c r="DC151" s="339"/>
      <c r="DD151" s="339"/>
      <c r="DE151" s="339"/>
      <c r="DF151" s="339"/>
      <c r="DG151" s="339">
        <f t="shared" si="59"/>
        <v>0</v>
      </c>
      <c r="DI151" s="339"/>
      <c r="DJ151" s="339"/>
      <c r="DK151" s="339"/>
      <c r="DL151" s="339"/>
      <c r="DM151" s="339"/>
      <c r="DN151" s="339">
        <f t="shared" si="60"/>
        <v>0</v>
      </c>
    </row>
    <row r="152" spans="19:118">
      <c r="S152" s="417"/>
      <c r="T152" s="417"/>
      <c r="V152" s="339">
        <v>1.8</v>
      </c>
      <c r="W152" s="339">
        <v>2.9</v>
      </c>
      <c r="X152" s="339"/>
      <c r="Y152" s="339"/>
      <c r="Z152" s="339"/>
      <c r="AA152" s="339">
        <f t="shared" si="61"/>
        <v>5.22</v>
      </c>
      <c r="AC152" s="339"/>
      <c r="AD152" s="339"/>
      <c r="AE152" s="339"/>
      <c r="AF152" s="339"/>
      <c r="AG152" s="339"/>
      <c r="AH152" s="339">
        <f t="shared" si="62"/>
        <v>0</v>
      </c>
      <c r="AJ152" s="339"/>
      <c r="AK152" s="339"/>
      <c r="AL152" s="339"/>
      <c r="AM152" s="339"/>
      <c r="AN152" s="339"/>
      <c r="AO152" s="339">
        <f t="shared" si="63"/>
        <v>0</v>
      </c>
      <c r="AQ152" s="339"/>
      <c r="AR152" s="339"/>
      <c r="AS152" s="339"/>
      <c r="AT152" s="339"/>
      <c r="AU152" s="339"/>
      <c r="AV152" s="339">
        <f t="shared" si="64"/>
        <v>0</v>
      </c>
      <c r="AX152" s="339"/>
      <c r="AY152" s="339"/>
      <c r="AZ152" s="339"/>
      <c r="BA152" s="339"/>
      <c r="BB152" s="339"/>
      <c r="BC152" s="339">
        <f t="shared" si="65"/>
        <v>0</v>
      </c>
      <c r="BE152" s="339"/>
      <c r="BF152" s="339"/>
      <c r="BG152" s="339"/>
      <c r="BH152" s="339"/>
      <c r="BI152" s="339"/>
      <c r="BJ152" s="339">
        <f t="shared" si="66"/>
        <v>0</v>
      </c>
      <c r="BL152" s="339"/>
      <c r="BM152" s="339"/>
      <c r="BN152" s="339"/>
      <c r="BO152" s="339"/>
      <c r="BP152" s="339"/>
      <c r="BQ152" s="339">
        <f t="shared" si="67"/>
        <v>0</v>
      </c>
      <c r="BS152" s="339"/>
      <c r="BT152" s="339"/>
      <c r="BU152" s="339"/>
      <c r="BV152" s="339"/>
      <c r="BW152" s="339"/>
      <c r="BX152" s="339">
        <f t="shared" si="68"/>
        <v>0</v>
      </c>
      <c r="BZ152" s="339"/>
      <c r="CA152" s="339"/>
      <c r="CB152" s="339"/>
      <c r="CC152" s="339"/>
      <c r="CD152" s="339"/>
      <c r="CE152" s="339">
        <f t="shared" si="69"/>
        <v>0</v>
      </c>
      <c r="CG152" s="339"/>
      <c r="CH152" s="339"/>
      <c r="CI152" s="339"/>
      <c r="CJ152" s="339"/>
      <c r="CK152" s="339"/>
      <c r="CL152" s="339">
        <f t="shared" si="70"/>
        <v>0</v>
      </c>
      <c r="CN152" s="339"/>
      <c r="CO152" s="339"/>
      <c r="CP152" s="339"/>
      <c r="CQ152" s="339"/>
      <c r="CR152" s="339"/>
      <c r="CS152" s="339">
        <f t="shared" si="71"/>
        <v>0</v>
      </c>
      <c r="CU152" s="339"/>
      <c r="CV152" s="339"/>
      <c r="CW152" s="339"/>
      <c r="CX152" s="339"/>
      <c r="CY152" s="339"/>
      <c r="CZ152" s="339">
        <f t="shared" si="72"/>
        <v>0</v>
      </c>
      <c r="DB152" s="339"/>
      <c r="DC152" s="339"/>
      <c r="DD152" s="339"/>
      <c r="DE152" s="339"/>
      <c r="DF152" s="339"/>
      <c r="DG152" s="339">
        <f t="shared" si="59"/>
        <v>0</v>
      </c>
      <c r="DI152" s="339"/>
      <c r="DJ152" s="339"/>
      <c r="DK152" s="339"/>
      <c r="DL152" s="339"/>
      <c r="DM152" s="339"/>
      <c r="DN152" s="339">
        <f t="shared" si="60"/>
        <v>0</v>
      </c>
    </row>
    <row r="153" spans="19:118">
      <c r="S153" s="417"/>
      <c r="T153" s="417"/>
      <c r="V153" s="339">
        <v>1.37</v>
      </c>
      <c r="W153" s="339">
        <v>2.9</v>
      </c>
      <c r="X153" s="339"/>
      <c r="Y153" s="339"/>
      <c r="Z153" s="339"/>
      <c r="AA153" s="339">
        <f t="shared" si="61"/>
        <v>3.9730000000000003</v>
      </c>
      <c r="AC153" s="339"/>
      <c r="AD153" s="339"/>
      <c r="AE153" s="339"/>
      <c r="AF153" s="339"/>
      <c r="AG153" s="339"/>
      <c r="AH153" s="339">
        <f t="shared" si="62"/>
        <v>0</v>
      </c>
      <c r="AJ153" s="339"/>
      <c r="AK153" s="339"/>
      <c r="AL153" s="339"/>
      <c r="AM153" s="339"/>
      <c r="AN153" s="339"/>
      <c r="AO153" s="339">
        <f t="shared" si="63"/>
        <v>0</v>
      </c>
      <c r="AQ153" s="339"/>
      <c r="AR153" s="339"/>
      <c r="AS153" s="339"/>
      <c r="AT153" s="339"/>
      <c r="AU153" s="339"/>
      <c r="AV153" s="339">
        <f t="shared" si="64"/>
        <v>0</v>
      </c>
      <c r="AX153" s="339"/>
      <c r="AY153" s="339"/>
      <c r="AZ153" s="339"/>
      <c r="BA153" s="339"/>
      <c r="BB153" s="339"/>
      <c r="BC153" s="339">
        <f t="shared" si="65"/>
        <v>0</v>
      </c>
      <c r="BE153" s="339"/>
      <c r="BF153" s="339"/>
      <c r="BG153" s="339"/>
      <c r="BH153" s="339"/>
      <c r="BI153" s="339"/>
      <c r="BJ153" s="339">
        <f t="shared" si="66"/>
        <v>0</v>
      </c>
      <c r="BL153" s="339"/>
      <c r="BM153" s="339"/>
      <c r="BN153" s="339"/>
      <c r="BO153" s="339"/>
      <c r="BP153" s="339"/>
      <c r="BQ153" s="339">
        <f t="shared" si="67"/>
        <v>0</v>
      </c>
      <c r="BS153" s="339"/>
      <c r="BT153" s="339"/>
      <c r="BU153" s="339"/>
      <c r="BV153" s="339"/>
      <c r="BW153" s="339"/>
      <c r="BX153" s="339">
        <f t="shared" si="68"/>
        <v>0</v>
      </c>
      <c r="BZ153" s="339"/>
      <c r="CA153" s="339"/>
      <c r="CB153" s="339"/>
      <c r="CC153" s="339"/>
      <c r="CD153" s="339"/>
      <c r="CE153" s="339">
        <f t="shared" si="69"/>
        <v>0</v>
      </c>
      <c r="CG153" s="339"/>
      <c r="CH153" s="339"/>
      <c r="CI153" s="339"/>
      <c r="CJ153" s="339"/>
      <c r="CK153" s="339"/>
      <c r="CL153" s="339">
        <f t="shared" si="70"/>
        <v>0</v>
      </c>
      <c r="CN153" s="339"/>
      <c r="CO153" s="339"/>
      <c r="CP153" s="339"/>
      <c r="CQ153" s="339"/>
      <c r="CR153" s="339"/>
      <c r="CS153" s="339">
        <f t="shared" si="71"/>
        <v>0</v>
      </c>
      <c r="CU153" s="339"/>
      <c r="CV153" s="339"/>
      <c r="CW153" s="339"/>
      <c r="CX153" s="339"/>
      <c r="CY153" s="339"/>
      <c r="CZ153" s="339">
        <f t="shared" si="72"/>
        <v>0</v>
      </c>
      <c r="DB153" s="339"/>
      <c r="DC153" s="339"/>
      <c r="DD153" s="339"/>
      <c r="DE153" s="339"/>
      <c r="DF153" s="339"/>
      <c r="DG153" s="339">
        <f t="shared" si="59"/>
        <v>0</v>
      </c>
      <c r="DI153" s="339"/>
      <c r="DJ153" s="339"/>
      <c r="DK153" s="339"/>
      <c r="DL153" s="339"/>
      <c r="DM153" s="339"/>
      <c r="DN153" s="339">
        <f t="shared" si="60"/>
        <v>0</v>
      </c>
    </row>
    <row r="154" spans="19:118">
      <c r="S154" s="417"/>
      <c r="T154" s="417"/>
      <c r="V154" s="339">
        <v>3.7</v>
      </c>
      <c r="W154" s="339">
        <v>2.9</v>
      </c>
      <c r="X154" s="339"/>
      <c r="Y154" s="339" t="s">
        <v>711</v>
      </c>
      <c r="Z154" s="339">
        <f>Q6</f>
        <v>7.7000000000000011</v>
      </c>
      <c r="AA154" s="339">
        <f t="shared" si="61"/>
        <v>3.0299999999999994</v>
      </c>
      <c r="AC154" s="339"/>
      <c r="AD154" s="339"/>
      <c r="AE154" s="339"/>
      <c r="AF154" s="339"/>
      <c r="AG154" s="339"/>
      <c r="AH154" s="339">
        <f t="shared" si="62"/>
        <v>0</v>
      </c>
      <c r="AJ154" s="339"/>
      <c r="AK154" s="339"/>
      <c r="AL154" s="339"/>
      <c r="AM154" s="339"/>
      <c r="AN154" s="339"/>
      <c r="AO154" s="339">
        <f t="shared" si="63"/>
        <v>0</v>
      </c>
      <c r="AQ154" s="339"/>
      <c r="AR154" s="339"/>
      <c r="AS154" s="339"/>
      <c r="AT154" s="339"/>
      <c r="AU154" s="339"/>
      <c r="AV154" s="339">
        <f t="shared" si="64"/>
        <v>0</v>
      </c>
      <c r="AX154" s="339"/>
      <c r="AY154" s="339"/>
      <c r="AZ154" s="339"/>
      <c r="BA154" s="339"/>
      <c r="BB154" s="339"/>
      <c r="BC154" s="339">
        <f t="shared" si="65"/>
        <v>0</v>
      </c>
      <c r="BE154" s="339"/>
      <c r="BF154" s="339"/>
      <c r="BG154" s="339"/>
      <c r="BH154" s="339"/>
      <c r="BI154" s="339"/>
      <c r="BJ154" s="339">
        <f t="shared" si="66"/>
        <v>0</v>
      </c>
      <c r="BL154" s="339"/>
      <c r="BM154" s="339"/>
      <c r="BN154" s="339"/>
      <c r="BO154" s="339"/>
      <c r="BP154" s="339"/>
      <c r="BQ154" s="339">
        <f t="shared" si="67"/>
        <v>0</v>
      </c>
      <c r="BS154" s="339"/>
      <c r="BT154" s="339"/>
      <c r="BU154" s="339"/>
      <c r="BV154" s="339"/>
      <c r="BW154" s="339"/>
      <c r="BX154" s="339">
        <f t="shared" si="68"/>
        <v>0</v>
      </c>
      <c r="BZ154" s="339"/>
      <c r="CA154" s="339"/>
      <c r="CB154" s="339"/>
      <c r="CC154" s="339"/>
      <c r="CD154" s="339"/>
      <c r="CE154" s="339">
        <f t="shared" si="69"/>
        <v>0</v>
      </c>
      <c r="CG154" s="339"/>
      <c r="CH154" s="339"/>
      <c r="CI154" s="339"/>
      <c r="CJ154" s="339"/>
      <c r="CK154" s="339"/>
      <c r="CL154" s="339">
        <f t="shared" si="70"/>
        <v>0</v>
      </c>
      <c r="CN154" s="339"/>
      <c r="CO154" s="339"/>
      <c r="CP154" s="339"/>
      <c r="CQ154" s="339"/>
      <c r="CR154" s="339"/>
      <c r="CS154" s="339">
        <f t="shared" si="71"/>
        <v>0</v>
      </c>
      <c r="CU154" s="339"/>
      <c r="CV154" s="339"/>
      <c r="CW154" s="339"/>
      <c r="CX154" s="339"/>
      <c r="CY154" s="339"/>
      <c r="CZ154" s="339">
        <f t="shared" si="72"/>
        <v>0</v>
      </c>
      <c r="DB154" s="339"/>
      <c r="DC154" s="339"/>
      <c r="DD154" s="339"/>
      <c r="DE154" s="339"/>
      <c r="DF154" s="339"/>
      <c r="DG154" s="339">
        <f t="shared" si="59"/>
        <v>0</v>
      </c>
      <c r="DI154" s="339"/>
      <c r="DJ154" s="339"/>
      <c r="DK154" s="339"/>
      <c r="DL154" s="339"/>
      <c r="DM154" s="339"/>
      <c r="DN154" s="339">
        <f t="shared" si="60"/>
        <v>0</v>
      </c>
    </row>
    <row r="155" spans="19:118">
      <c r="S155" s="412"/>
      <c r="T155" s="412"/>
      <c r="V155" s="339">
        <v>1.575</v>
      </c>
      <c r="W155" s="339">
        <v>2.9</v>
      </c>
      <c r="X155" s="339"/>
      <c r="Y155" s="339"/>
      <c r="Z155" s="339"/>
      <c r="AA155" s="339">
        <f t="shared" si="61"/>
        <v>4.5674999999999999</v>
      </c>
      <c r="AC155" s="339"/>
      <c r="AD155" s="339"/>
      <c r="AE155" s="339"/>
      <c r="AF155" s="339"/>
      <c r="AG155" s="339"/>
      <c r="AH155" s="339">
        <f t="shared" si="62"/>
        <v>0</v>
      </c>
      <c r="AJ155" s="339"/>
      <c r="AK155" s="339"/>
      <c r="AL155" s="339"/>
      <c r="AM155" s="339"/>
      <c r="AN155" s="339"/>
      <c r="AO155" s="339">
        <f t="shared" si="63"/>
        <v>0</v>
      </c>
      <c r="AQ155" s="339"/>
      <c r="AR155" s="339"/>
      <c r="AS155" s="339"/>
      <c r="AT155" s="339"/>
      <c r="AU155" s="339"/>
      <c r="AV155" s="339">
        <f t="shared" si="64"/>
        <v>0</v>
      </c>
      <c r="AX155" s="339"/>
      <c r="AY155" s="339"/>
      <c r="AZ155" s="339"/>
      <c r="BA155" s="339"/>
      <c r="BB155" s="339"/>
      <c r="BC155" s="339">
        <f t="shared" si="65"/>
        <v>0</v>
      </c>
      <c r="BE155" s="339"/>
      <c r="BF155" s="339"/>
      <c r="BG155" s="339"/>
      <c r="BH155" s="339"/>
      <c r="BI155" s="339"/>
      <c r="BJ155" s="339">
        <f t="shared" si="66"/>
        <v>0</v>
      </c>
      <c r="BL155" s="339"/>
      <c r="BM155" s="339"/>
      <c r="BN155" s="339"/>
      <c r="BO155" s="339"/>
      <c r="BP155" s="339"/>
      <c r="BQ155" s="339">
        <f t="shared" si="67"/>
        <v>0</v>
      </c>
      <c r="BS155" s="339"/>
      <c r="BT155" s="339"/>
      <c r="BU155" s="339"/>
      <c r="BV155" s="339"/>
      <c r="BW155" s="339"/>
      <c r="BX155" s="339">
        <f t="shared" si="68"/>
        <v>0</v>
      </c>
      <c r="BZ155" s="339"/>
      <c r="CA155" s="339"/>
      <c r="CB155" s="339"/>
      <c r="CC155" s="339"/>
      <c r="CD155" s="339"/>
      <c r="CE155" s="339">
        <f t="shared" si="69"/>
        <v>0</v>
      </c>
      <c r="CG155" s="339"/>
      <c r="CH155" s="339"/>
      <c r="CI155" s="339"/>
      <c r="CJ155" s="339"/>
      <c r="CK155" s="339"/>
      <c r="CL155" s="339">
        <f t="shared" si="70"/>
        <v>0</v>
      </c>
      <c r="CN155" s="339"/>
      <c r="CO155" s="339"/>
      <c r="CP155" s="339"/>
      <c r="CQ155" s="339"/>
      <c r="CR155" s="339"/>
      <c r="CS155" s="339">
        <f t="shared" si="71"/>
        <v>0</v>
      </c>
      <c r="CU155" s="339"/>
      <c r="CV155" s="339"/>
      <c r="CW155" s="339"/>
      <c r="CX155" s="339"/>
      <c r="CY155" s="339"/>
      <c r="CZ155" s="339">
        <f t="shared" si="72"/>
        <v>0</v>
      </c>
      <c r="DB155" s="339"/>
      <c r="DC155" s="339"/>
      <c r="DD155" s="339"/>
      <c r="DE155" s="339"/>
      <c r="DF155" s="339"/>
      <c r="DG155" s="339">
        <f t="shared" si="59"/>
        <v>0</v>
      </c>
      <c r="DI155" s="339"/>
      <c r="DJ155" s="339"/>
      <c r="DK155" s="339"/>
      <c r="DL155" s="339"/>
      <c r="DM155" s="339"/>
      <c r="DN155" s="339">
        <f t="shared" si="60"/>
        <v>0</v>
      </c>
    </row>
    <row r="156" spans="19:118">
      <c r="S156" s="412"/>
      <c r="T156" s="412"/>
      <c r="V156" s="339">
        <v>1.575</v>
      </c>
      <c r="W156" s="339">
        <v>2.9</v>
      </c>
      <c r="X156" s="339"/>
      <c r="Y156" s="339"/>
      <c r="Z156" s="339"/>
      <c r="AA156" s="339">
        <f t="shared" si="61"/>
        <v>4.5674999999999999</v>
      </c>
      <c r="AC156" s="339"/>
      <c r="AD156" s="339"/>
      <c r="AE156" s="339"/>
      <c r="AF156" s="339"/>
      <c r="AG156" s="339"/>
      <c r="AH156" s="339">
        <f t="shared" si="62"/>
        <v>0</v>
      </c>
      <c r="AJ156" s="339"/>
      <c r="AK156" s="339"/>
      <c r="AL156" s="339"/>
      <c r="AM156" s="339"/>
      <c r="AN156" s="339"/>
      <c r="AO156" s="339">
        <f t="shared" si="63"/>
        <v>0</v>
      </c>
      <c r="AQ156" s="339"/>
      <c r="AR156" s="339"/>
      <c r="AS156" s="339"/>
      <c r="AT156" s="339"/>
      <c r="AU156" s="339"/>
      <c r="AV156" s="339">
        <f t="shared" si="64"/>
        <v>0</v>
      </c>
      <c r="AX156" s="339"/>
      <c r="AY156" s="339"/>
      <c r="AZ156" s="339"/>
      <c r="BA156" s="339"/>
      <c r="BB156" s="339"/>
      <c r="BC156" s="339">
        <f t="shared" si="65"/>
        <v>0</v>
      </c>
      <c r="BE156" s="339"/>
      <c r="BF156" s="339"/>
      <c r="BG156" s="339"/>
      <c r="BH156" s="339"/>
      <c r="BI156" s="339"/>
      <c r="BJ156" s="339">
        <f t="shared" si="66"/>
        <v>0</v>
      </c>
      <c r="BL156" s="339"/>
      <c r="BM156" s="339"/>
      <c r="BN156" s="339"/>
      <c r="BO156" s="339"/>
      <c r="BP156" s="339"/>
      <c r="BQ156" s="339">
        <f t="shared" si="67"/>
        <v>0</v>
      </c>
      <c r="BS156" s="339"/>
      <c r="BT156" s="339"/>
      <c r="BU156" s="339"/>
      <c r="BV156" s="339"/>
      <c r="BW156" s="339"/>
      <c r="BX156" s="339">
        <f t="shared" si="68"/>
        <v>0</v>
      </c>
      <c r="BZ156" s="339"/>
      <c r="CA156" s="339"/>
      <c r="CB156" s="339"/>
      <c r="CC156" s="339"/>
      <c r="CD156" s="339"/>
      <c r="CE156" s="339">
        <f t="shared" si="69"/>
        <v>0</v>
      </c>
      <c r="CG156" s="339"/>
      <c r="CH156" s="339"/>
      <c r="CI156" s="339"/>
      <c r="CJ156" s="339"/>
      <c r="CK156" s="339"/>
      <c r="CL156" s="339">
        <f t="shared" si="70"/>
        <v>0</v>
      </c>
      <c r="CN156" s="339"/>
      <c r="CO156" s="339"/>
      <c r="CP156" s="339"/>
      <c r="CQ156" s="339"/>
      <c r="CR156" s="339"/>
      <c r="CS156" s="339">
        <f t="shared" si="71"/>
        <v>0</v>
      </c>
      <c r="CU156" s="339"/>
      <c r="CV156" s="339"/>
      <c r="CW156" s="339"/>
      <c r="CX156" s="339"/>
      <c r="CY156" s="339"/>
      <c r="CZ156" s="339">
        <f t="shared" si="72"/>
        <v>0</v>
      </c>
      <c r="DB156" s="339"/>
      <c r="DC156" s="339"/>
      <c r="DD156" s="339"/>
      <c r="DE156" s="339"/>
      <c r="DF156" s="339"/>
      <c r="DG156" s="339">
        <f t="shared" si="59"/>
        <v>0</v>
      </c>
      <c r="DI156" s="339"/>
      <c r="DJ156" s="339"/>
      <c r="DK156" s="339"/>
      <c r="DL156" s="339"/>
      <c r="DM156" s="339"/>
      <c r="DN156" s="339">
        <f t="shared" si="60"/>
        <v>0</v>
      </c>
    </row>
    <row r="157" spans="19:118">
      <c r="S157" s="412"/>
      <c r="T157" s="412"/>
      <c r="V157" s="339">
        <v>0.7</v>
      </c>
      <c r="W157" s="339">
        <v>2.9</v>
      </c>
      <c r="X157" s="339"/>
      <c r="Y157" s="339"/>
      <c r="Z157" s="339"/>
      <c r="AA157" s="339">
        <f t="shared" si="61"/>
        <v>2.0299999999999998</v>
      </c>
      <c r="AC157" s="339"/>
      <c r="AD157" s="339"/>
      <c r="AE157" s="339"/>
      <c r="AF157" s="339"/>
      <c r="AG157" s="339"/>
      <c r="AH157" s="339">
        <f t="shared" si="62"/>
        <v>0</v>
      </c>
      <c r="AJ157" s="339"/>
      <c r="AK157" s="339"/>
      <c r="AL157" s="339"/>
      <c r="AM157" s="339"/>
      <c r="AN157" s="339"/>
      <c r="AO157" s="339">
        <f t="shared" si="63"/>
        <v>0</v>
      </c>
      <c r="AQ157" s="339"/>
      <c r="AR157" s="339"/>
      <c r="AS157" s="339"/>
      <c r="AT157" s="339"/>
      <c r="AU157" s="339"/>
      <c r="AV157" s="339">
        <f t="shared" si="64"/>
        <v>0</v>
      </c>
      <c r="AX157" s="339"/>
      <c r="AY157" s="339"/>
      <c r="AZ157" s="339"/>
      <c r="BA157" s="339"/>
      <c r="BB157" s="339"/>
      <c r="BC157" s="339">
        <f t="shared" si="65"/>
        <v>0</v>
      </c>
      <c r="BE157" s="339"/>
      <c r="BF157" s="339"/>
      <c r="BG157" s="339"/>
      <c r="BH157" s="339"/>
      <c r="BI157" s="339"/>
      <c r="BJ157" s="339">
        <f t="shared" si="66"/>
        <v>0</v>
      </c>
      <c r="BL157" s="339"/>
      <c r="BM157" s="339"/>
      <c r="BN157" s="339"/>
      <c r="BO157" s="339"/>
      <c r="BP157" s="339"/>
      <c r="BQ157" s="339">
        <f t="shared" si="67"/>
        <v>0</v>
      </c>
      <c r="BS157" s="339"/>
      <c r="BT157" s="339"/>
      <c r="BU157" s="339"/>
      <c r="BV157" s="339"/>
      <c r="BW157" s="339"/>
      <c r="BX157" s="339">
        <f t="shared" si="68"/>
        <v>0</v>
      </c>
      <c r="BZ157" s="339"/>
      <c r="CA157" s="339"/>
      <c r="CB157" s="339"/>
      <c r="CC157" s="339"/>
      <c r="CD157" s="339"/>
      <c r="CE157" s="339">
        <f t="shared" si="69"/>
        <v>0</v>
      </c>
      <c r="CG157" s="339"/>
      <c r="CH157" s="339"/>
      <c r="CI157" s="339"/>
      <c r="CJ157" s="339"/>
      <c r="CK157" s="339"/>
      <c r="CL157" s="339">
        <f t="shared" si="70"/>
        <v>0</v>
      </c>
      <c r="CN157" s="339"/>
      <c r="CO157" s="339"/>
      <c r="CP157" s="339"/>
      <c r="CQ157" s="339"/>
      <c r="CR157" s="339"/>
      <c r="CS157" s="339">
        <f t="shared" si="71"/>
        <v>0</v>
      </c>
      <c r="CU157" s="339"/>
      <c r="CV157" s="339"/>
      <c r="CW157" s="339"/>
      <c r="CX157" s="339"/>
      <c r="CY157" s="339"/>
      <c r="CZ157" s="339">
        <f t="shared" si="72"/>
        <v>0</v>
      </c>
      <c r="DB157" s="339"/>
      <c r="DC157" s="339"/>
      <c r="DD157" s="339"/>
      <c r="DE157" s="339"/>
      <c r="DF157" s="339"/>
      <c r="DG157" s="339">
        <f t="shared" si="59"/>
        <v>0</v>
      </c>
      <c r="DI157" s="339"/>
      <c r="DJ157" s="339"/>
      <c r="DK157" s="339"/>
      <c r="DL157" s="339"/>
      <c r="DM157" s="339"/>
      <c r="DN157" s="339">
        <f t="shared" si="60"/>
        <v>0</v>
      </c>
    </row>
    <row r="158" spans="19:118">
      <c r="S158" s="412"/>
      <c r="T158" s="417"/>
      <c r="V158" s="424">
        <v>3.1</v>
      </c>
      <c r="W158" s="424">
        <v>3.05</v>
      </c>
      <c r="X158" s="424"/>
      <c r="Y158" s="424" t="s">
        <v>703</v>
      </c>
      <c r="Z158" s="424">
        <f>Q2</f>
        <v>2.2999999999999998</v>
      </c>
      <c r="AA158" s="339">
        <f t="shared" si="47"/>
        <v>7.1550000000000002</v>
      </c>
      <c r="AC158" s="339"/>
      <c r="AD158" s="339"/>
      <c r="AE158" s="339"/>
      <c r="AF158" s="339"/>
      <c r="AG158" s="339"/>
      <c r="AH158" s="339">
        <f t="shared" si="48"/>
        <v>0</v>
      </c>
      <c r="AJ158" s="339"/>
      <c r="AK158" s="339"/>
      <c r="AL158" s="339"/>
      <c r="AM158" s="339"/>
      <c r="AN158" s="339"/>
      <c r="AO158" s="339">
        <f t="shared" si="49"/>
        <v>0</v>
      </c>
      <c r="AQ158" s="339"/>
      <c r="AR158" s="339"/>
      <c r="AS158" s="339"/>
      <c r="AT158" s="339"/>
      <c r="AU158" s="339"/>
      <c r="AV158" s="339">
        <f t="shared" si="50"/>
        <v>0</v>
      </c>
      <c r="AX158" s="339"/>
      <c r="AY158" s="339"/>
      <c r="AZ158" s="339"/>
      <c r="BA158" s="339"/>
      <c r="BB158" s="339"/>
      <c r="BC158" s="339">
        <f t="shared" si="51"/>
        <v>0</v>
      </c>
      <c r="BE158" s="339"/>
      <c r="BF158" s="339"/>
      <c r="BG158" s="339"/>
      <c r="BH158" s="339"/>
      <c r="BI158" s="339"/>
      <c r="BJ158" s="339">
        <f t="shared" si="52"/>
        <v>0</v>
      </c>
      <c r="BL158" s="339"/>
      <c r="BM158" s="339"/>
      <c r="BN158" s="339"/>
      <c r="BO158" s="339"/>
      <c r="BP158" s="339"/>
      <c r="BQ158" s="339">
        <f t="shared" si="53"/>
        <v>0</v>
      </c>
      <c r="BS158" s="339"/>
      <c r="BT158" s="339"/>
      <c r="BU158" s="339"/>
      <c r="BV158" s="339"/>
      <c r="BW158" s="339"/>
      <c r="BX158" s="339">
        <f t="shared" si="54"/>
        <v>0</v>
      </c>
      <c r="BZ158" s="339"/>
      <c r="CA158" s="339"/>
      <c r="CB158" s="339"/>
      <c r="CC158" s="339"/>
      <c r="CD158" s="339"/>
      <c r="CE158" s="339">
        <f t="shared" si="55"/>
        <v>0</v>
      </c>
      <c r="CG158" s="339"/>
      <c r="CH158" s="339"/>
      <c r="CI158" s="339"/>
      <c r="CJ158" s="339"/>
      <c r="CK158" s="339"/>
      <c r="CL158" s="339">
        <f t="shared" si="56"/>
        <v>0</v>
      </c>
      <c r="CN158" s="339"/>
      <c r="CO158" s="339"/>
      <c r="CP158" s="339"/>
      <c r="CQ158" s="339"/>
      <c r="CR158" s="339"/>
      <c r="CS158" s="339">
        <f t="shared" si="57"/>
        <v>0</v>
      </c>
      <c r="CU158" s="339"/>
      <c r="CV158" s="339"/>
      <c r="CW158" s="339"/>
      <c r="CX158" s="339"/>
      <c r="CY158" s="339"/>
      <c r="CZ158" s="339">
        <f t="shared" si="58"/>
        <v>0</v>
      </c>
      <c r="DB158" s="339"/>
      <c r="DC158" s="339"/>
      <c r="DD158" s="339"/>
      <c r="DE158" s="339"/>
      <c r="DF158" s="339"/>
      <c r="DG158" s="339">
        <f t="shared" si="59"/>
        <v>0</v>
      </c>
      <c r="DI158" s="339"/>
      <c r="DJ158" s="339"/>
      <c r="DK158" s="339"/>
      <c r="DL158" s="339"/>
      <c r="DM158" s="339"/>
      <c r="DN158" s="339">
        <f t="shared" si="60"/>
        <v>0</v>
      </c>
    </row>
    <row r="159" spans="19:118">
      <c r="S159" s="417"/>
      <c r="T159" s="417"/>
      <c r="V159" s="339">
        <v>1.95</v>
      </c>
      <c r="W159" s="339">
        <v>3</v>
      </c>
      <c r="X159" s="339"/>
      <c r="Y159" s="339"/>
      <c r="Z159" s="339"/>
      <c r="AA159" s="339">
        <f t="shared" si="47"/>
        <v>5.85</v>
      </c>
      <c r="AC159" s="339"/>
      <c r="AD159" s="339"/>
      <c r="AE159" s="339"/>
      <c r="AF159" s="339"/>
      <c r="AG159" s="339"/>
      <c r="AH159" s="339">
        <f t="shared" si="48"/>
        <v>0</v>
      </c>
      <c r="AJ159" s="339"/>
      <c r="AK159" s="339"/>
      <c r="AL159" s="339"/>
      <c r="AM159" s="339"/>
      <c r="AN159" s="339"/>
      <c r="AO159" s="339">
        <f t="shared" si="49"/>
        <v>0</v>
      </c>
      <c r="AQ159" s="339"/>
      <c r="AR159" s="339"/>
      <c r="AS159" s="339"/>
      <c r="AT159" s="339"/>
      <c r="AU159" s="339"/>
      <c r="AV159" s="339">
        <f t="shared" si="50"/>
        <v>0</v>
      </c>
      <c r="AX159" s="339"/>
      <c r="AY159" s="339"/>
      <c r="AZ159" s="339"/>
      <c r="BA159" s="339"/>
      <c r="BB159" s="339"/>
      <c r="BC159" s="339">
        <f t="shared" si="51"/>
        <v>0</v>
      </c>
      <c r="BE159" s="339"/>
      <c r="BF159" s="339"/>
      <c r="BG159" s="339"/>
      <c r="BH159" s="339"/>
      <c r="BI159" s="339"/>
      <c r="BJ159" s="339">
        <f t="shared" si="52"/>
        <v>0</v>
      </c>
      <c r="BL159" s="339"/>
      <c r="BM159" s="339"/>
      <c r="BN159" s="339"/>
      <c r="BO159" s="339"/>
      <c r="BP159" s="339"/>
      <c r="BQ159" s="339">
        <f t="shared" si="53"/>
        <v>0</v>
      </c>
      <c r="BS159" s="339"/>
      <c r="BT159" s="339"/>
      <c r="BU159" s="339"/>
      <c r="BV159" s="339"/>
      <c r="BW159" s="339"/>
      <c r="BX159" s="339">
        <f t="shared" si="54"/>
        <v>0</v>
      </c>
      <c r="BZ159" s="339"/>
      <c r="CA159" s="339"/>
      <c r="CB159" s="339"/>
      <c r="CC159" s="339"/>
      <c r="CD159" s="339"/>
      <c r="CE159" s="339">
        <f t="shared" si="55"/>
        <v>0</v>
      </c>
      <c r="CG159" s="339"/>
      <c r="CH159" s="339"/>
      <c r="CI159" s="339"/>
      <c r="CJ159" s="339"/>
      <c r="CK159" s="339"/>
      <c r="CL159" s="339">
        <f t="shared" si="56"/>
        <v>0</v>
      </c>
      <c r="CN159" s="339"/>
      <c r="CO159" s="339"/>
      <c r="CP159" s="339"/>
      <c r="CQ159" s="339"/>
      <c r="CR159" s="339"/>
      <c r="CS159" s="339">
        <f t="shared" si="57"/>
        <v>0</v>
      </c>
      <c r="CU159" s="339"/>
      <c r="CV159" s="339"/>
      <c r="CW159" s="339"/>
      <c r="CX159" s="339"/>
      <c r="CY159" s="339"/>
      <c r="CZ159" s="339">
        <f t="shared" si="58"/>
        <v>0</v>
      </c>
      <c r="DB159" s="339"/>
      <c r="DC159" s="339"/>
      <c r="DD159" s="339"/>
      <c r="DE159" s="339"/>
      <c r="DF159" s="339"/>
      <c r="DG159" s="339">
        <f t="shared" si="59"/>
        <v>0</v>
      </c>
      <c r="DI159" s="339"/>
      <c r="DJ159" s="339"/>
      <c r="DK159" s="339"/>
      <c r="DL159" s="339"/>
      <c r="DM159" s="339"/>
      <c r="DN159" s="339">
        <f t="shared" si="60"/>
        <v>0</v>
      </c>
    </row>
    <row r="160" spans="19:118">
      <c r="S160" s="417"/>
      <c r="T160" s="417"/>
      <c r="V160" s="339">
        <v>1.95</v>
      </c>
      <c r="W160" s="339">
        <v>3</v>
      </c>
      <c r="X160" s="339"/>
      <c r="Y160" s="339"/>
      <c r="Z160" s="339"/>
      <c r="AA160" s="339">
        <f t="shared" si="47"/>
        <v>5.85</v>
      </c>
      <c r="AC160" s="339"/>
      <c r="AD160" s="339"/>
      <c r="AE160" s="339"/>
      <c r="AF160" s="339"/>
      <c r="AG160" s="339"/>
      <c r="AH160" s="339">
        <f t="shared" si="48"/>
        <v>0</v>
      </c>
      <c r="AJ160" s="339"/>
      <c r="AK160" s="339"/>
      <c r="AL160" s="339"/>
      <c r="AM160" s="339"/>
      <c r="AN160" s="339"/>
      <c r="AO160" s="339">
        <f t="shared" si="49"/>
        <v>0</v>
      </c>
      <c r="AQ160" s="339"/>
      <c r="AR160" s="339"/>
      <c r="AS160" s="339"/>
      <c r="AT160" s="339"/>
      <c r="AU160" s="339"/>
      <c r="AV160" s="339">
        <f t="shared" si="50"/>
        <v>0</v>
      </c>
      <c r="AX160" s="339"/>
      <c r="AY160" s="339"/>
      <c r="AZ160" s="339"/>
      <c r="BA160" s="339"/>
      <c r="BB160" s="339"/>
      <c r="BC160" s="339">
        <f t="shared" si="51"/>
        <v>0</v>
      </c>
      <c r="BE160" s="339"/>
      <c r="BF160" s="339"/>
      <c r="BG160" s="339"/>
      <c r="BH160" s="339"/>
      <c r="BI160" s="339"/>
      <c r="BJ160" s="339">
        <f t="shared" si="52"/>
        <v>0</v>
      </c>
      <c r="BL160" s="339"/>
      <c r="BM160" s="339"/>
      <c r="BN160" s="339"/>
      <c r="BO160" s="339"/>
      <c r="BP160" s="339"/>
      <c r="BQ160" s="339">
        <f t="shared" si="53"/>
        <v>0</v>
      </c>
      <c r="BS160" s="339"/>
      <c r="BT160" s="339"/>
      <c r="BU160" s="339"/>
      <c r="BV160" s="339"/>
      <c r="BW160" s="339"/>
      <c r="BX160" s="339">
        <f t="shared" si="54"/>
        <v>0</v>
      </c>
      <c r="BZ160" s="339"/>
      <c r="CA160" s="339"/>
      <c r="CB160" s="339"/>
      <c r="CC160" s="339"/>
      <c r="CD160" s="339"/>
      <c r="CE160" s="339">
        <f t="shared" si="55"/>
        <v>0</v>
      </c>
      <c r="CG160" s="339"/>
      <c r="CH160" s="339"/>
      <c r="CI160" s="339"/>
      <c r="CJ160" s="339"/>
      <c r="CK160" s="339"/>
      <c r="CL160" s="339">
        <f t="shared" si="56"/>
        <v>0</v>
      </c>
      <c r="CN160" s="339"/>
      <c r="CO160" s="339"/>
      <c r="CP160" s="339"/>
      <c r="CQ160" s="339"/>
      <c r="CR160" s="339"/>
      <c r="CS160" s="339">
        <f t="shared" si="57"/>
        <v>0</v>
      </c>
      <c r="CU160" s="339"/>
      <c r="CV160" s="339"/>
      <c r="CW160" s="339"/>
      <c r="CX160" s="339"/>
      <c r="CY160" s="339"/>
      <c r="CZ160" s="339">
        <f t="shared" si="58"/>
        <v>0</v>
      </c>
      <c r="DB160" s="339"/>
      <c r="DC160" s="339"/>
      <c r="DD160" s="339"/>
      <c r="DE160" s="339"/>
      <c r="DF160" s="339"/>
      <c r="DG160" s="339">
        <f t="shared" si="59"/>
        <v>0</v>
      </c>
      <c r="DI160" s="339"/>
      <c r="DJ160" s="339"/>
      <c r="DK160" s="339"/>
      <c r="DL160" s="339"/>
      <c r="DM160" s="339"/>
      <c r="DN160" s="339">
        <f t="shared" si="60"/>
        <v>0</v>
      </c>
    </row>
    <row r="161" spans="19:118">
      <c r="S161" s="417"/>
      <c r="T161" s="417"/>
      <c r="V161" s="339">
        <v>3.7</v>
      </c>
      <c r="W161" s="339">
        <v>3</v>
      </c>
      <c r="X161" s="339"/>
      <c r="Y161" s="339"/>
      <c r="Z161" s="339"/>
      <c r="AA161" s="339">
        <f t="shared" si="47"/>
        <v>11.100000000000001</v>
      </c>
      <c r="AC161" s="339"/>
      <c r="AD161" s="339"/>
      <c r="AE161" s="339"/>
      <c r="AF161" s="339"/>
      <c r="AG161" s="339"/>
      <c r="AH161" s="339">
        <f t="shared" si="48"/>
        <v>0</v>
      </c>
      <c r="AJ161" s="339"/>
      <c r="AK161" s="339"/>
      <c r="AL161" s="339"/>
      <c r="AM161" s="339"/>
      <c r="AN161" s="339"/>
      <c r="AO161" s="339">
        <f t="shared" si="49"/>
        <v>0</v>
      </c>
      <c r="AQ161" s="339"/>
      <c r="AR161" s="339"/>
      <c r="AS161" s="339"/>
      <c r="AT161" s="339"/>
      <c r="AU161" s="339"/>
      <c r="AV161" s="339">
        <f t="shared" si="50"/>
        <v>0</v>
      </c>
      <c r="AX161" s="339"/>
      <c r="AY161" s="339"/>
      <c r="AZ161" s="339"/>
      <c r="BA161" s="339"/>
      <c r="BB161" s="339"/>
      <c r="BC161" s="339">
        <f t="shared" si="51"/>
        <v>0</v>
      </c>
      <c r="BE161" s="339"/>
      <c r="BF161" s="339"/>
      <c r="BG161" s="339"/>
      <c r="BH161" s="339"/>
      <c r="BI161" s="339"/>
      <c r="BJ161" s="339">
        <f t="shared" si="52"/>
        <v>0</v>
      </c>
      <c r="BL161" s="339"/>
      <c r="BM161" s="339"/>
      <c r="BN161" s="339"/>
      <c r="BO161" s="339"/>
      <c r="BP161" s="339"/>
      <c r="BQ161" s="339">
        <f t="shared" si="53"/>
        <v>0</v>
      </c>
      <c r="BS161" s="339"/>
      <c r="BT161" s="339"/>
      <c r="BU161" s="339"/>
      <c r="BV161" s="339"/>
      <c r="BW161" s="339"/>
      <c r="BX161" s="339">
        <f t="shared" si="54"/>
        <v>0</v>
      </c>
      <c r="BZ161" s="339"/>
      <c r="CA161" s="339"/>
      <c r="CB161" s="339"/>
      <c r="CC161" s="339"/>
      <c r="CD161" s="339"/>
      <c r="CE161" s="339">
        <f t="shared" si="55"/>
        <v>0</v>
      </c>
      <c r="CG161" s="339"/>
      <c r="CH161" s="339"/>
      <c r="CI161" s="339"/>
      <c r="CJ161" s="339"/>
      <c r="CK161" s="339"/>
      <c r="CL161" s="339">
        <f t="shared" si="56"/>
        <v>0</v>
      </c>
      <c r="CN161" s="339"/>
      <c r="CO161" s="339"/>
      <c r="CP161" s="339"/>
      <c r="CQ161" s="339"/>
      <c r="CR161" s="339"/>
      <c r="CS161" s="339">
        <f t="shared" si="57"/>
        <v>0</v>
      </c>
      <c r="CU161" s="339"/>
      <c r="CV161" s="339"/>
      <c r="CW161" s="339"/>
      <c r="CX161" s="339"/>
      <c r="CY161" s="339"/>
      <c r="CZ161" s="339">
        <f t="shared" si="58"/>
        <v>0</v>
      </c>
      <c r="DB161" s="339"/>
      <c r="DC161" s="339"/>
      <c r="DD161" s="339"/>
      <c r="DE161" s="339"/>
      <c r="DF161" s="339"/>
      <c r="DG161" s="339">
        <f t="shared" si="59"/>
        <v>0</v>
      </c>
      <c r="DI161" s="339"/>
      <c r="DJ161" s="339"/>
      <c r="DK161" s="339"/>
      <c r="DL161" s="339"/>
      <c r="DM161" s="339"/>
      <c r="DN161" s="339">
        <f t="shared" si="60"/>
        <v>0</v>
      </c>
    </row>
    <row r="162" spans="19:118">
      <c r="S162" s="412"/>
      <c r="T162" s="412"/>
      <c r="V162" s="339">
        <v>3.7</v>
      </c>
      <c r="W162" s="339">
        <v>3</v>
      </c>
      <c r="X162" s="339"/>
      <c r="Y162" s="339"/>
      <c r="Z162" s="339"/>
      <c r="AA162" s="339">
        <f t="shared" si="47"/>
        <v>11.100000000000001</v>
      </c>
      <c r="AC162" s="339"/>
      <c r="AD162" s="339"/>
      <c r="AE162" s="339"/>
      <c r="AF162" s="339"/>
      <c r="AG162" s="339"/>
      <c r="AH162" s="339">
        <f t="shared" si="48"/>
        <v>0</v>
      </c>
      <c r="AJ162" s="339"/>
      <c r="AK162" s="339"/>
      <c r="AL162" s="339"/>
      <c r="AM162" s="339"/>
      <c r="AN162" s="339"/>
      <c r="AO162" s="339">
        <f t="shared" si="49"/>
        <v>0</v>
      </c>
      <c r="AQ162" s="339"/>
      <c r="AR162" s="339"/>
      <c r="AS162" s="339"/>
      <c r="AT162" s="339"/>
      <c r="AU162" s="339"/>
      <c r="AV162" s="339">
        <f t="shared" si="50"/>
        <v>0</v>
      </c>
      <c r="AX162" s="339"/>
      <c r="AY162" s="339"/>
      <c r="AZ162" s="339"/>
      <c r="BA162" s="339"/>
      <c r="BB162" s="339"/>
      <c r="BC162" s="339">
        <f t="shared" si="51"/>
        <v>0</v>
      </c>
      <c r="BE162" s="339"/>
      <c r="BF162" s="339"/>
      <c r="BG162" s="339"/>
      <c r="BH162" s="339"/>
      <c r="BI162" s="339"/>
      <c r="BJ162" s="339">
        <f t="shared" si="52"/>
        <v>0</v>
      </c>
      <c r="BL162" s="339"/>
      <c r="BM162" s="339"/>
      <c r="BN162" s="339"/>
      <c r="BO162" s="339"/>
      <c r="BP162" s="339"/>
      <c r="BQ162" s="339">
        <f t="shared" si="53"/>
        <v>0</v>
      </c>
      <c r="BS162" s="339"/>
      <c r="BT162" s="339"/>
      <c r="BU162" s="339"/>
      <c r="BV162" s="339"/>
      <c r="BW162" s="339"/>
      <c r="BX162" s="339">
        <f t="shared" si="54"/>
        <v>0</v>
      </c>
      <c r="BZ162" s="339"/>
      <c r="CA162" s="339"/>
      <c r="CB162" s="339"/>
      <c r="CC162" s="339"/>
      <c r="CD162" s="339"/>
      <c r="CE162" s="339">
        <f t="shared" si="55"/>
        <v>0</v>
      </c>
      <c r="CG162" s="339"/>
      <c r="CH162" s="339"/>
      <c r="CI162" s="339"/>
      <c r="CJ162" s="339"/>
      <c r="CK162" s="339"/>
      <c r="CL162" s="339">
        <f t="shared" si="56"/>
        <v>0</v>
      </c>
      <c r="CN162" s="339"/>
      <c r="CO162" s="339"/>
      <c r="CP162" s="339"/>
      <c r="CQ162" s="339"/>
      <c r="CR162" s="339"/>
      <c r="CS162" s="339">
        <f t="shared" si="57"/>
        <v>0</v>
      </c>
      <c r="CU162" s="339"/>
      <c r="CV162" s="339"/>
      <c r="CW162" s="339"/>
      <c r="CX162" s="339"/>
      <c r="CY162" s="339"/>
      <c r="CZ162" s="339">
        <f t="shared" si="58"/>
        <v>0</v>
      </c>
      <c r="DB162" s="339"/>
      <c r="DC162" s="339"/>
      <c r="DD162" s="339"/>
      <c r="DE162" s="339"/>
      <c r="DF162" s="339"/>
      <c r="DG162" s="339">
        <f t="shared" si="59"/>
        <v>0</v>
      </c>
      <c r="DI162" s="339"/>
      <c r="DJ162" s="339"/>
      <c r="DK162" s="339"/>
      <c r="DL162" s="339"/>
      <c r="DM162" s="339"/>
      <c r="DN162" s="339">
        <f t="shared" si="60"/>
        <v>0</v>
      </c>
    </row>
    <row r="163" spans="19:118">
      <c r="S163" s="412"/>
      <c r="T163" s="412"/>
      <c r="V163" s="339">
        <v>2.2000000000000002</v>
      </c>
      <c r="W163" s="339">
        <v>3</v>
      </c>
      <c r="X163" s="339"/>
      <c r="Y163" s="339" t="s">
        <v>705</v>
      </c>
      <c r="Z163" s="339">
        <f>Q11</f>
        <v>2.25</v>
      </c>
      <c r="AA163" s="339">
        <f t="shared" si="47"/>
        <v>4.3500000000000005</v>
      </c>
      <c r="AC163" s="339"/>
      <c r="AD163" s="339"/>
      <c r="AE163" s="339"/>
      <c r="AF163" s="339"/>
      <c r="AG163" s="339"/>
      <c r="AH163" s="339">
        <f t="shared" si="48"/>
        <v>0</v>
      </c>
      <c r="AJ163" s="339"/>
      <c r="AK163" s="339"/>
      <c r="AL163" s="339"/>
      <c r="AM163" s="339"/>
      <c r="AN163" s="339"/>
      <c r="AO163" s="339">
        <f t="shared" si="49"/>
        <v>0</v>
      </c>
      <c r="AQ163" s="339"/>
      <c r="AR163" s="339"/>
      <c r="AS163" s="339"/>
      <c r="AT163" s="339"/>
      <c r="AU163" s="339"/>
      <c r="AV163" s="339">
        <f t="shared" si="50"/>
        <v>0</v>
      </c>
      <c r="AX163" s="339"/>
      <c r="AY163" s="339"/>
      <c r="AZ163" s="339"/>
      <c r="BA163" s="339"/>
      <c r="BB163" s="339"/>
      <c r="BC163" s="339">
        <f t="shared" si="51"/>
        <v>0</v>
      </c>
      <c r="BE163" s="339"/>
      <c r="BF163" s="339"/>
      <c r="BG163" s="339"/>
      <c r="BH163" s="339"/>
      <c r="BI163" s="339"/>
      <c r="BJ163" s="339">
        <f t="shared" si="52"/>
        <v>0</v>
      </c>
      <c r="BL163" s="339"/>
      <c r="BM163" s="339"/>
      <c r="BN163" s="339"/>
      <c r="BO163" s="339"/>
      <c r="BP163" s="339"/>
      <c r="BQ163" s="339">
        <f t="shared" si="53"/>
        <v>0</v>
      </c>
      <c r="BS163" s="339"/>
      <c r="BT163" s="339"/>
      <c r="BU163" s="339"/>
      <c r="BV163" s="339"/>
      <c r="BW163" s="339"/>
      <c r="BX163" s="339">
        <f t="shared" si="54"/>
        <v>0</v>
      </c>
      <c r="BZ163" s="339"/>
      <c r="CA163" s="339"/>
      <c r="CB163" s="339"/>
      <c r="CC163" s="339"/>
      <c r="CD163" s="339"/>
      <c r="CE163" s="339">
        <f t="shared" si="55"/>
        <v>0</v>
      </c>
      <c r="CG163" s="339"/>
      <c r="CH163" s="339"/>
      <c r="CI163" s="339"/>
      <c r="CJ163" s="339"/>
      <c r="CK163" s="339"/>
      <c r="CL163" s="339">
        <f t="shared" si="56"/>
        <v>0</v>
      </c>
      <c r="CN163" s="339"/>
      <c r="CO163" s="339"/>
      <c r="CP163" s="339"/>
      <c r="CQ163" s="339"/>
      <c r="CR163" s="339"/>
      <c r="CS163" s="339">
        <f t="shared" si="57"/>
        <v>0</v>
      </c>
      <c r="CU163" s="339"/>
      <c r="CV163" s="339"/>
      <c r="CW163" s="339"/>
      <c r="CX163" s="339"/>
      <c r="CY163" s="339"/>
      <c r="CZ163" s="339">
        <f t="shared" si="58"/>
        <v>0</v>
      </c>
      <c r="DB163" s="339"/>
      <c r="DC163" s="339"/>
      <c r="DD163" s="339"/>
      <c r="DE163" s="339"/>
      <c r="DF163" s="339"/>
      <c r="DG163" s="339">
        <f t="shared" si="59"/>
        <v>0</v>
      </c>
      <c r="DI163" s="339"/>
      <c r="DJ163" s="339"/>
      <c r="DK163" s="339"/>
      <c r="DL163" s="339"/>
      <c r="DM163" s="339"/>
      <c r="DN163" s="339">
        <f t="shared" si="60"/>
        <v>0</v>
      </c>
    </row>
    <row r="164" spans="19:118">
      <c r="S164" s="412"/>
      <c r="T164" s="412"/>
      <c r="V164" s="339">
        <v>5.6</v>
      </c>
      <c r="W164" s="339">
        <v>3</v>
      </c>
      <c r="X164" s="339"/>
      <c r="Y164" s="339" t="s">
        <v>723</v>
      </c>
      <c r="Z164" s="339">
        <f>K8</f>
        <v>2.0499999999999998</v>
      </c>
      <c r="AA164" s="339">
        <f t="shared" si="47"/>
        <v>14.749999999999996</v>
      </c>
      <c r="AC164" s="339"/>
      <c r="AD164" s="339"/>
      <c r="AE164" s="339"/>
      <c r="AF164" s="339"/>
      <c r="AG164" s="339"/>
      <c r="AH164" s="339">
        <f t="shared" si="48"/>
        <v>0</v>
      </c>
      <c r="AJ164" s="339"/>
      <c r="AK164" s="339"/>
      <c r="AL164" s="339"/>
      <c r="AM164" s="339"/>
      <c r="AN164" s="339"/>
      <c r="AO164" s="339">
        <f t="shared" si="49"/>
        <v>0</v>
      </c>
      <c r="AQ164" s="339"/>
      <c r="AR164" s="339"/>
      <c r="AS164" s="339"/>
      <c r="AT164" s="339"/>
      <c r="AU164" s="339"/>
      <c r="AV164" s="339">
        <f t="shared" si="50"/>
        <v>0</v>
      </c>
      <c r="AX164" s="339"/>
      <c r="AY164" s="339"/>
      <c r="AZ164" s="339"/>
      <c r="BA164" s="339"/>
      <c r="BB164" s="339"/>
      <c r="BC164" s="339">
        <f t="shared" si="51"/>
        <v>0</v>
      </c>
      <c r="BE164" s="339"/>
      <c r="BF164" s="339"/>
      <c r="BG164" s="339"/>
      <c r="BH164" s="339"/>
      <c r="BI164" s="339"/>
      <c r="BJ164" s="339">
        <f t="shared" si="52"/>
        <v>0</v>
      </c>
      <c r="BL164" s="339"/>
      <c r="BM164" s="339"/>
      <c r="BN164" s="339"/>
      <c r="BO164" s="339"/>
      <c r="BP164" s="339"/>
      <c r="BQ164" s="339">
        <f t="shared" si="53"/>
        <v>0</v>
      </c>
      <c r="BS164" s="339"/>
      <c r="BT164" s="339"/>
      <c r="BU164" s="339"/>
      <c r="BV164" s="339"/>
      <c r="BW164" s="339"/>
      <c r="BX164" s="339">
        <f t="shared" si="54"/>
        <v>0</v>
      </c>
      <c r="BZ164" s="339"/>
      <c r="CA164" s="339"/>
      <c r="CB164" s="339"/>
      <c r="CC164" s="339"/>
      <c r="CD164" s="339"/>
      <c r="CE164" s="339">
        <f t="shared" si="55"/>
        <v>0</v>
      </c>
      <c r="CG164" s="339"/>
      <c r="CH164" s="339"/>
      <c r="CI164" s="339"/>
      <c r="CJ164" s="339"/>
      <c r="CK164" s="339"/>
      <c r="CL164" s="339">
        <f t="shared" si="56"/>
        <v>0</v>
      </c>
      <c r="CN164" s="339"/>
      <c r="CO164" s="339"/>
      <c r="CP164" s="339"/>
      <c r="CQ164" s="339"/>
      <c r="CR164" s="339"/>
      <c r="CS164" s="339">
        <f t="shared" si="57"/>
        <v>0</v>
      </c>
      <c r="CU164" s="339"/>
      <c r="CV164" s="339"/>
      <c r="CW164" s="339"/>
      <c r="CX164" s="339"/>
      <c r="CY164" s="339"/>
      <c r="CZ164" s="339">
        <f t="shared" si="58"/>
        <v>0</v>
      </c>
      <c r="DB164" s="339"/>
      <c r="DC164" s="339"/>
      <c r="DD164" s="339"/>
      <c r="DE164" s="339"/>
      <c r="DF164" s="339"/>
      <c r="DG164" s="339">
        <f t="shared" si="59"/>
        <v>0</v>
      </c>
      <c r="DI164" s="339"/>
      <c r="DJ164" s="339"/>
      <c r="DK164" s="339"/>
      <c r="DL164" s="339"/>
      <c r="DM164" s="339"/>
      <c r="DN164" s="339">
        <f t="shared" si="60"/>
        <v>0</v>
      </c>
    </row>
    <row r="165" spans="19:118">
      <c r="S165" s="412"/>
      <c r="T165" s="417"/>
      <c r="V165" s="339">
        <v>3.7</v>
      </c>
      <c r="W165" s="339">
        <v>3</v>
      </c>
      <c r="X165" s="339"/>
      <c r="Y165" s="339" t="s">
        <v>724</v>
      </c>
      <c r="Z165" s="339">
        <f>Q3*2</f>
        <v>1.35</v>
      </c>
      <c r="AA165" s="339">
        <f t="shared" ref="AA165:AA203" si="73">V165*W165+X165-Z165</f>
        <v>9.7500000000000018</v>
      </c>
      <c r="AC165" s="339"/>
      <c r="AD165" s="339"/>
      <c r="AE165" s="339"/>
      <c r="AF165" s="339"/>
      <c r="AG165" s="339"/>
      <c r="AH165" s="339">
        <f t="shared" ref="AH165:AH203" si="74">AC165*AD165+AE165-AG165</f>
        <v>0</v>
      </c>
      <c r="AJ165" s="339"/>
      <c r="AK165" s="339"/>
      <c r="AL165" s="339"/>
      <c r="AM165" s="339"/>
      <c r="AN165" s="339"/>
      <c r="AO165" s="339">
        <f t="shared" ref="AO165:AO203" si="75">AJ165*AK165+AL165-AN165</f>
        <v>0</v>
      </c>
      <c r="AQ165" s="339"/>
      <c r="AR165" s="339"/>
      <c r="AS165" s="339"/>
      <c r="AT165" s="339"/>
      <c r="AU165" s="339"/>
      <c r="AV165" s="339">
        <f t="shared" ref="AV165:AV203" si="76">AQ165*AR165+AS165-AU165</f>
        <v>0</v>
      </c>
      <c r="AX165" s="339"/>
      <c r="AY165" s="339"/>
      <c r="AZ165" s="339"/>
      <c r="BA165" s="339"/>
      <c r="BB165" s="339"/>
      <c r="BC165" s="339">
        <f t="shared" ref="BC165:BC203" si="77">AX165*AY165+AZ165-BB165</f>
        <v>0</v>
      </c>
      <c r="BE165" s="339"/>
      <c r="BF165" s="339"/>
      <c r="BG165" s="339"/>
      <c r="BH165" s="339"/>
      <c r="BI165" s="339"/>
      <c r="BJ165" s="339">
        <f t="shared" ref="BJ165:BJ203" si="78">BE165*BF165+BG165-BI165</f>
        <v>0</v>
      </c>
      <c r="BL165" s="339"/>
      <c r="BM165" s="339"/>
      <c r="BN165" s="339"/>
      <c r="BO165" s="339"/>
      <c r="BP165" s="339"/>
      <c r="BQ165" s="339">
        <f t="shared" ref="BQ165:BQ203" si="79">BL165*BM165+BN165-BP165</f>
        <v>0</v>
      </c>
      <c r="BS165" s="339"/>
      <c r="BT165" s="339"/>
      <c r="BU165" s="339"/>
      <c r="BV165" s="339"/>
      <c r="BW165" s="339"/>
      <c r="BX165" s="339">
        <f t="shared" ref="BX165:BX203" si="80">BS165*BT165+BU165-BW165</f>
        <v>0</v>
      </c>
      <c r="BZ165" s="339"/>
      <c r="CA165" s="339"/>
      <c r="CB165" s="339"/>
      <c r="CC165" s="339"/>
      <c r="CD165" s="339"/>
      <c r="CE165" s="339">
        <f t="shared" ref="CE165:CE203" si="81">BZ165*CA165+CB165-CD165</f>
        <v>0</v>
      </c>
      <c r="CG165" s="339"/>
      <c r="CH165" s="339"/>
      <c r="CI165" s="339"/>
      <c r="CJ165" s="339"/>
      <c r="CK165" s="339"/>
      <c r="CL165" s="339">
        <f t="shared" ref="CL165:CL203" si="82">CG165*CH165+CI165-CK165</f>
        <v>0</v>
      </c>
      <c r="CN165" s="339"/>
      <c r="CO165" s="339"/>
      <c r="CP165" s="339"/>
      <c r="CQ165" s="339"/>
      <c r="CR165" s="339"/>
      <c r="CS165" s="339">
        <f t="shared" ref="CS165:CS203" si="83">CN165*CO165+CP165-CR165</f>
        <v>0</v>
      </c>
      <c r="CU165" s="339"/>
      <c r="CV165" s="339"/>
      <c r="CW165" s="339"/>
      <c r="CX165" s="339"/>
      <c r="CY165" s="339"/>
      <c r="CZ165" s="339">
        <f t="shared" ref="CZ165:CZ203" si="84">CU165*CV165+CW165-CY165</f>
        <v>0</v>
      </c>
      <c r="DB165" s="339"/>
      <c r="DC165" s="339"/>
      <c r="DD165" s="339"/>
      <c r="DE165" s="339"/>
      <c r="DF165" s="339"/>
      <c r="DG165" s="339">
        <f t="shared" si="59"/>
        <v>0</v>
      </c>
      <c r="DI165" s="339"/>
      <c r="DJ165" s="339"/>
      <c r="DK165" s="339"/>
      <c r="DL165" s="339"/>
      <c r="DM165" s="339"/>
      <c r="DN165" s="339">
        <f t="shared" si="60"/>
        <v>0</v>
      </c>
    </row>
    <row r="166" spans="19:118">
      <c r="S166" s="417"/>
      <c r="T166" s="417"/>
      <c r="V166" s="339">
        <v>2.7</v>
      </c>
      <c r="W166" s="339">
        <v>3</v>
      </c>
      <c r="X166" s="339"/>
      <c r="Y166" s="339" t="s">
        <v>723</v>
      </c>
      <c r="Z166" s="339">
        <f>K8</f>
        <v>2.0499999999999998</v>
      </c>
      <c r="AA166" s="339">
        <f t="shared" si="73"/>
        <v>6.0500000000000016</v>
      </c>
      <c r="AC166" s="339"/>
      <c r="AD166" s="339"/>
      <c r="AE166" s="339"/>
      <c r="AF166" s="339"/>
      <c r="AG166" s="339"/>
      <c r="AH166" s="339">
        <f t="shared" si="74"/>
        <v>0</v>
      </c>
      <c r="AJ166" s="339"/>
      <c r="AK166" s="339"/>
      <c r="AL166" s="339"/>
      <c r="AM166" s="339"/>
      <c r="AN166" s="339"/>
      <c r="AO166" s="339">
        <f t="shared" si="75"/>
        <v>0</v>
      </c>
      <c r="AQ166" s="339"/>
      <c r="AR166" s="339"/>
      <c r="AS166" s="339"/>
      <c r="AT166" s="339"/>
      <c r="AU166" s="339"/>
      <c r="AV166" s="339">
        <f t="shared" si="76"/>
        <v>0</v>
      </c>
      <c r="AX166" s="339"/>
      <c r="AY166" s="339"/>
      <c r="AZ166" s="339"/>
      <c r="BA166" s="339"/>
      <c r="BB166" s="339"/>
      <c r="BC166" s="339">
        <f t="shared" si="77"/>
        <v>0</v>
      </c>
      <c r="BE166" s="339"/>
      <c r="BF166" s="339"/>
      <c r="BG166" s="339"/>
      <c r="BH166" s="339"/>
      <c r="BI166" s="339"/>
      <c r="BJ166" s="339">
        <f t="shared" si="78"/>
        <v>0</v>
      </c>
      <c r="BL166" s="339"/>
      <c r="BM166" s="339"/>
      <c r="BN166" s="339"/>
      <c r="BO166" s="339"/>
      <c r="BP166" s="339"/>
      <c r="BQ166" s="339">
        <f t="shared" si="79"/>
        <v>0</v>
      </c>
      <c r="BS166" s="339"/>
      <c r="BT166" s="339"/>
      <c r="BU166" s="339"/>
      <c r="BV166" s="339"/>
      <c r="BW166" s="339"/>
      <c r="BX166" s="339">
        <f t="shared" si="80"/>
        <v>0</v>
      </c>
      <c r="BZ166" s="339"/>
      <c r="CA166" s="339"/>
      <c r="CB166" s="339"/>
      <c r="CC166" s="339"/>
      <c r="CD166" s="339"/>
      <c r="CE166" s="339">
        <f t="shared" si="81"/>
        <v>0</v>
      </c>
      <c r="CG166" s="339"/>
      <c r="CH166" s="339"/>
      <c r="CI166" s="339"/>
      <c r="CJ166" s="339"/>
      <c r="CK166" s="339"/>
      <c r="CL166" s="339">
        <f t="shared" si="82"/>
        <v>0</v>
      </c>
      <c r="CN166" s="339"/>
      <c r="CO166" s="339"/>
      <c r="CP166" s="339"/>
      <c r="CQ166" s="339"/>
      <c r="CR166" s="339"/>
      <c r="CS166" s="339">
        <f t="shared" si="83"/>
        <v>0</v>
      </c>
      <c r="CU166" s="339"/>
      <c r="CV166" s="339"/>
      <c r="CW166" s="339"/>
      <c r="CX166" s="339"/>
      <c r="CY166" s="339"/>
      <c r="CZ166" s="339">
        <f t="shared" si="84"/>
        <v>0</v>
      </c>
      <c r="DB166" s="339"/>
      <c r="DC166" s="339"/>
      <c r="DD166" s="339"/>
      <c r="DE166" s="339"/>
      <c r="DF166" s="339"/>
      <c r="DG166" s="339">
        <f t="shared" si="59"/>
        <v>0</v>
      </c>
      <c r="DI166" s="339"/>
      <c r="DJ166" s="339"/>
      <c r="DK166" s="339"/>
      <c r="DL166" s="339"/>
      <c r="DM166" s="339"/>
      <c r="DN166" s="339">
        <f t="shared" si="60"/>
        <v>0</v>
      </c>
    </row>
    <row r="167" spans="19:118">
      <c r="S167" s="417"/>
      <c r="T167" s="417"/>
      <c r="V167" s="339">
        <v>3.7</v>
      </c>
      <c r="W167" s="339">
        <v>3</v>
      </c>
      <c r="X167" s="339"/>
      <c r="Y167" s="339" t="s">
        <v>720</v>
      </c>
      <c r="Z167" s="339">
        <f>Q5</f>
        <v>3.8249999999999997</v>
      </c>
      <c r="AA167" s="339">
        <f t="shared" si="73"/>
        <v>7.2750000000000021</v>
      </c>
      <c r="AC167" s="339"/>
      <c r="AD167" s="339"/>
      <c r="AE167" s="339"/>
      <c r="AF167" s="339"/>
      <c r="AG167" s="339"/>
      <c r="AH167" s="339">
        <f t="shared" si="74"/>
        <v>0</v>
      </c>
      <c r="AJ167" s="339"/>
      <c r="AK167" s="339"/>
      <c r="AL167" s="339"/>
      <c r="AM167" s="339"/>
      <c r="AN167" s="339"/>
      <c r="AO167" s="339">
        <f t="shared" si="75"/>
        <v>0</v>
      </c>
      <c r="AQ167" s="339"/>
      <c r="AR167" s="339"/>
      <c r="AS167" s="339"/>
      <c r="AT167" s="339"/>
      <c r="AU167" s="339"/>
      <c r="AV167" s="339">
        <f t="shared" si="76"/>
        <v>0</v>
      </c>
      <c r="AX167" s="339"/>
      <c r="AY167" s="339"/>
      <c r="AZ167" s="339"/>
      <c r="BA167" s="339"/>
      <c r="BB167" s="339"/>
      <c r="BC167" s="339">
        <f t="shared" si="77"/>
        <v>0</v>
      </c>
      <c r="BE167" s="339"/>
      <c r="BF167" s="339"/>
      <c r="BG167" s="339"/>
      <c r="BH167" s="339"/>
      <c r="BI167" s="339"/>
      <c r="BJ167" s="339">
        <f t="shared" si="78"/>
        <v>0</v>
      </c>
      <c r="BL167" s="339"/>
      <c r="BM167" s="339"/>
      <c r="BN167" s="339"/>
      <c r="BO167" s="339"/>
      <c r="BP167" s="339"/>
      <c r="BQ167" s="339">
        <f t="shared" si="79"/>
        <v>0</v>
      </c>
      <c r="BS167" s="339"/>
      <c r="BT167" s="339"/>
      <c r="BU167" s="339"/>
      <c r="BV167" s="339"/>
      <c r="BW167" s="339"/>
      <c r="BX167" s="339">
        <f t="shared" si="80"/>
        <v>0</v>
      </c>
      <c r="BZ167" s="339"/>
      <c r="CA167" s="339"/>
      <c r="CB167" s="339"/>
      <c r="CC167" s="339"/>
      <c r="CD167" s="339"/>
      <c r="CE167" s="339">
        <f t="shared" si="81"/>
        <v>0</v>
      </c>
      <c r="CG167" s="339"/>
      <c r="CH167" s="339"/>
      <c r="CI167" s="339"/>
      <c r="CJ167" s="339"/>
      <c r="CK167" s="339"/>
      <c r="CL167" s="339">
        <f t="shared" si="82"/>
        <v>0</v>
      </c>
      <c r="CN167" s="339"/>
      <c r="CO167" s="339"/>
      <c r="CP167" s="339"/>
      <c r="CQ167" s="339"/>
      <c r="CR167" s="339"/>
      <c r="CS167" s="339">
        <f t="shared" si="83"/>
        <v>0</v>
      </c>
      <c r="CU167" s="339"/>
      <c r="CV167" s="339"/>
      <c r="CW167" s="339"/>
      <c r="CX167" s="339"/>
      <c r="CY167" s="339"/>
      <c r="CZ167" s="339">
        <f t="shared" si="84"/>
        <v>0</v>
      </c>
      <c r="DB167" s="339"/>
      <c r="DC167" s="339"/>
      <c r="DD167" s="339"/>
      <c r="DE167" s="339"/>
      <c r="DF167" s="339"/>
      <c r="DG167" s="339">
        <f t="shared" si="59"/>
        <v>0</v>
      </c>
      <c r="DI167" s="339"/>
      <c r="DJ167" s="339"/>
      <c r="DK167" s="339"/>
      <c r="DL167" s="339"/>
      <c r="DM167" s="339"/>
      <c r="DN167" s="339">
        <f t="shared" si="60"/>
        <v>0</v>
      </c>
    </row>
    <row r="168" spans="19:118">
      <c r="S168" s="417"/>
      <c r="T168" s="417"/>
      <c r="V168" s="339">
        <v>2.7</v>
      </c>
      <c r="W168" s="339">
        <v>3</v>
      </c>
      <c r="X168" s="339"/>
      <c r="Y168" s="339"/>
      <c r="Z168" s="339"/>
      <c r="AA168" s="339">
        <f t="shared" si="73"/>
        <v>8.1000000000000014</v>
      </c>
      <c r="AC168" s="339"/>
      <c r="AD168" s="339"/>
      <c r="AE168" s="339"/>
      <c r="AF168" s="339"/>
      <c r="AG168" s="339"/>
      <c r="AH168" s="339">
        <f t="shared" si="74"/>
        <v>0</v>
      </c>
      <c r="AJ168" s="339"/>
      <c r="AK168" s="339"/>
      <c r="AL168" s="339"/>
      <c r="AM168" s="339"/>
      <c r="AN168" s="339"/>
      <c r="AO168" s="339">
        <f t="shared" si="75"/>
        <v>0</v>
      </c>
      <c r="AQ168" s="339"/>
      <c r="AR168" s="339"/>
      <c r="AS168" s="339"/>
      <c r="AT168" s="339"/>
      <c r="AU168" s="339"/>
      <c r="AV168" s="339">
        <f t="shared" si="76"/>
        <v>0</v>
      </c>
      <c r="AX168" s="339"/>
      <c r="AY168" s="339"/>
      <c r="AZ168" s="339"/>
      <c r="BA168" s="339"/>
      <c r="BB168" s="339"/>
      <c r="BC168" s="339">
        <f t="shared" si="77"/>
        <v>0</v>
      </c>
      <c r="BE168" s="339"/>
      <c r="BF168" s="339"/>
      <c r="BG168" s="339"/>
      <c r="BH168" s="339"/>
      <c r="BI168" s="339"/>
      <c r="BJ168" s="339">
        <f t="shared" si="78"/>
        <v>0</v>
      </c>
      <c r="BL168" s="339"/>
      <c r="BM168" s="339"/>
      <c r="BN168" s="339"/>
      <c r="BO168" s="339"/>
      <c r="BP168" s="339"/>
      <c r="BQ168" s="339">
        <f t="shared" si="79"/>
        <v>0</v>
      </c>
      <c r="BS168" s="339"/>
      <c r="BT168" s="339"/>
      <c r="BU168" s="339"/>
      <c r="BV168" s="339"/>
      <c r="BW168" s="339"/>
      <c r="BX168" s="339">
        <f t="shared" si="80"/>
        <v>0</v>
      </c>
      <c r="BZ168" s="339"/>
      <c r="CA168" s="339"/>
      <c r="CB168" s="339"/>
      <c r="CC168" s="339"/>
      <c r="CD168" s="339"/>
      <c r="CE168" s="339">
        <f t="shared" si="81"/>
        <v>0</v>
      </c>
      <c r="CG168" s="339"/>
      <c r="CH168" s="339"/>
      <c r="CI168" s="339"/>
      <c r="CJ168" s="339"/>
      <c r="CK168" s="339"/>
      <c r="CL168" s="339">
        <f t="shared" si="82"/>
        <v>0</v>
      </c>
      <c r="CN168" s="339"/>
      <c r="CO168" s="339"/>
      <c r="CP168" s="339"/>
      <c r="CQ168" s="339"/>
      <c r="CR168" s="339"/>
      <c r="CS168" s="339">
        <f t="shared" si="83"/>
        <v>0</v>
      </c>
      <c r="CU168" s="339"/>
      <c r="CV168" s="339"/>
      <c r="CW168" s="339"/>
      <c r="CX168" s="339"/>
      <c r="CY168" s="339"/>
      <c r="CZ168" s="339">
        <f t="shared" si="84"/>
        <v>0</v>
      </c>
      <c r="DB168" s="339"/>
      <c r="DC168" s="339"/>
      <c r="DD168" s="339"/>
      <c r="DE168" s="339"/>
      <c r="DF168" s="339"/>
      <c r="DG168" s="339">
        <f t="shared" si="59"/>
        <v>0</v>
      </c>
      <c r="DI168" s="339"/>
      <c r="DJ168" s="339"/>
      <c r="DK168" s="339"/>
      <c r="DL168" s="339"/>
      <c r="DM168" s="339"/>
      <c r="DN168" s="339">
        <f t="shared" si="60"/>
        <v>0</v>
      </c>
    </row>
    <row r="169" spans="19:118">
      <c r="S169" s="412"/>
      <c r="T169" s="412"/>
      <c r="V169" s="339">
        <v>0.8</v>
      </c>
      <c r="W169" s="339">
        <v>3</v>
      </c>
      <c r="X169" s="339"/>
      <c r="Y169" s="339"/>
      <c r="Z169" s="339"/>
      <c r="AA169" s="339">
        <f t="shared" si="73"/>
        <v>2.4000000000000004</v>
      </c>
      <c r="AC169" s="339"/>
      <c r="AD169" s="339"/>
      <c r="AE169" s="339"/>
      <c r="AF169" s="339"/>
      <c r="AG169" s="339"/>
      <c r="AH169" s="339">
        <f t="shared" si="74"/>
        <v>0</v>
      </c>
      <c r="AJ169" s="339"/>
      <c r="AK169" s="339"/>
      <c r="AL169" s="339"/>
      <c r="AM169" s="339"/>
      <c r="AN169" s="339"/>
      <c r="AO169" s="339">
        <f t="shared" si="75"/>
        <v>0</v>
      </c>
      <c r="AQ169" s="339"/>
      <c r="AR169" s="339"/>
      <c r="AS169" s="339"/>
      <c r="AT169" s="339"/>
      <c r="AU169" s="339"/>
      <c r="AV169" s="339">
        <f t="shared" si="76"/>
        <v>0</v>
      </c>
      <c r="AX169" s="339"/>
      <c r="AY169" s="339"/>
      <c r="AZ169" s="339"/>
      <c r="BA169" s="339"/>
      <c r="BB169" s="339"/>
      <c r="BC169" s="339">
        <f t="shared" si="77"/>
        <v>0</v>
      </c>
      <c r="BE169" s="339"/>
      <c r="BF169" s="339"/>
      <c r="BG169" s="339"/>
      <c r="BH169" s="339"/>
      <c r="BI169" s="339"/>
      <c r="BJ169" s="339">
        <f t="shared" si="78"/>
        <v>0</v>
      </c>
      <c r="BL169" s="339"/>
      <c r="BM169" s="339"/>
      <c r="BN169" s="339"/>
      <c r="BO169" s="339"/>
      <c r="BP169" s="339"/>
      <c r="BQ169" s="339">
        <f t="shared" si="79"/>
        <v>0</v>
      </c>
      <c r="BS169" s="339"/>
      <c r="BT169" s="339"/>
      <c r="BU169" s="339"/>
      <c r="BV169" s="339"/>
      <c r="BW169" s="339"/>
      <c r="BX169" s="339">
        <f t="shared" si="80"/>
        <v>0</v>
      </c>
      <c r="BZ169" s="339"/>
      <c r="CA169" s="339"/>
      <c r="CB169" s="339"/>
      <c r="CC169" s="339"/>
      <c r="CD169" s="339"/>
      <c r="CE169" s="339">
        <f t="shared" si="81"/>
        <v>0</v>
      </c>
      <c r="CG169" s="339"/>
      <c r="CH169" s="339"/>
      <c r="CI169" s="339"/>
      <c r="CJ169" s="339"/>
      <c r="CK169" s="339"/>
      <c r="CL169" s="339">
        <f t="shared" si="82"/>
        <v>0</v>
      </c>
      <c r="CN169" s="339"/>
      <c r="CO169" s="339"/>
      <c r="CP169" s="339"/>
      <c r="CQ169" s="339"/>
      <c r="CR169" s="339"/>
      <c r="CS169" s="339">
        <f t="shared" si="83"/>
        <v>0</v>
      </c>
      <c r="CU169" s="339"/>
      <c r="CV169" s="339"/>
      <c r="CW169" s="339"/>
      <c r="CX169" s="339"/>
      <c r="CY169" s="339"/>
      <c r="CZ169" s="339">
        <f t="shared" si="84"/>
        <v>0</v>
      </c>
      <c r="DB169" s="339"/>
      <c r="DC169" s="339"/>
      <c r="DD169" s="339"/>
      <c r="DE169" s="339"/>
      <c r="DF169" s="339"/>
      <c r="DG169" s="339">
        <f t="shared" si="59"/>
        <v>0</v>
      </c>
      <c r="DI169" s="339"/>
      <c r="DJ169" s="339"/>
      <c r="DK169" s="339"/>
      <c r="DL169" s="339"/>
      <c r="DM169" s="339"/>
      <c r="DN169" s="339">
        <f t="shared" si="60"/>
        <v>0</v>
      </c>
    </row>
    <row r="170" spans="19:118">
      <c r="S170" s="412"/>
      <c r="T170" s="412"/>
      <c r="V170" s="339">
        <v>1.3</v>
      </c>
      <c r="W170" s="339">
        <v>0.6</v>
      </c>
      <c r="X170" s="339"/>
      <c r="Y170" s="339"/>
      <c r="Z170" s="339"/>
      <c r="AA170" s="339">
        <f t="shared" si="73"/>
        <v>0.78</v>
      </c>
      <c r="AC170" s="339"/>
      <c r="AD170" s="339"/>
      <c r="AE170" s="339"/>
      <c r="AF170" s="339"/>
      <c r="AG170" s="339"/>
      <c r="AH170" s="339">
        <f t="shared" si="74"/>
        <v>0</v>
      </c>
      <c r="AJ170" s="339"/>
      <c r="AK170" s="339"/>
      <c r="AL170" s="339"/>
      <c r="AM170" s="339"/>
      <c r="AN170" s="339"/>
      <c r="AO170" s="339">
        <f t="shared" si="75"/>
        <v>0</v>
      </c>
      <c r="AQ170" s="339"/>
      <c r="AR170" s="339"/>
      <c r="AS170" s="339"/>
      <c r="AT170" s="339"/>
      <c r="AU170" s="339"/>
      <c r="AV170" s="339">
        <f t="shared" si="76"/>
        <v>0</v>
      </c>
      <c r="AX170" s="339"/>
      <c r="AY170" s="339"/>
      <c r="AZ170" s="339"/>
      <c r="BA170" s="339"/>
      <c r="BB170" s="339"/>
      <c r="BC170" s="339">
        <f t="shared" si="77"/>
        <v>0</v>
      </c>
      <c r="BE170" s="339"/>
      <c r="BF170" s="339"/>
      <c r="BG170" s="339"/>
      <c r="BH170" s="339"/>
      <c r="BI170" s="339"/>
      <c r="BJ170" s="339">
        <f t="shared" si="78"/>
        <v>0</v>
      </c>
      <c r="BL170" s="339"/>
      <c r="BM170" s="339"/>
      <c r="BN170" s="339"/>
      <c r="BO170" s="339"/>
      <c r="BP170" s="339"/>
      <c r="BQ170" s="339">
        <f t="shared" si="79"/>
        <v>0</v>
      </c>
      <c r="BS170" s="339"/>
      <c r="BT170" s="339"/>
      <c r="BU170" s="339"/>
      <c r="BV170" s="339"/>
      <c r="BW170" s="339"/>
      <c r="BX170" s="339">
        <f t="shared" si="80"/>
        <v>0</v>
      </c>
      <c r="BZ170" s="339"/>
      <c r="CA170" s="339"/>
      <c r="CB170" s="339"/>
      <c r="CC170" s="339"/>
      <c r="CD170" s="339"/>
      <c r="CE170" s="339">
        <f t="shared" si="81"/>
        <v>0</v>
      </c>
      <c r="CG170" s="339"/>
      <c r="CH170" s="339"/>
      <c r="CI170" s="339"/>
      <c r="CJ170" s="339"/>
      <c r="CK170" s="339"/>
      <c r="CL170" s="339">
        <f t="shared" si="82"/>
        <v>0</v>
      </c>
      <c r="CN170" s="339"/>
      <c r="CO170" s="339"/>
      <c r="CP170" s="339"/>
      <c r="CQ170" s="339"/>
      <c r="CR170" s="339"/>
      <c r="CS170" s="339">
        <f t="shared" si="83"/>
        <v>0</v>
      </c>
      <c r="CU170" s="339"/>
      <c r="CV170" s="339"/>
      <c r="CW170" s="339"/>
      <c r="CX170" s="339"/>
      <c r="CY170" s="339"/>
      <c r="CZ170" s="339">
        <f t="shared" si="84"/>
        <v>0</v>
      </c>
      <c r="DB170" s="339"/>
      <c r="DC170" s="339"/>
      <c r="DD170" s="339"/>
      <c r="DE170" s="339"/>
      <c r="DF170" s="339"/>
      <c r="DG170" s="339">
        <f t="shared" si="59"/>
        <v>0</v>
      </c>
      <c r="DI170" s="339"/>
      <c r="DJ170" s="339"/>
      <c r="DK170" s="339"/>
      <c r="DL170" s="339"/>
      <c r="DM170" s="339"/>
      <c r="DN170" s="339">
        <f t="shared" si="60"/>
        <v>0</v>
      </c>
    </row>
    <row r="171" spans="19:118">
      <c r="S171" s="412"/>
      <c r="T171" s="412"/>
      <c r="V171" s="339">
        <v>4.5</v>
      </c>
      <c r="W171" s="339">
        <v>2.9</v>
      </c>
      <c r="X171" s="339"/>
      <c r="Y171" s="339"/>
      <c r="Z171" s="339"/>
      <c r="AA171" s="339">
        <f t="shared" si="73"/>
        <v>13.049999999999999</v>
      </c>
      <c r="AC171" s="339"/>
      <c r="AD171" s="339"/>
      <c r="AE171" s="339"/>
      <c r="AF171" s="339"/>
      <c r="AG171" s="339"/>
      <c r="AH171" s="339">
        <f t="shared" si="74"/>
        <v>0</v>
      </c>
      <c r="AJ171" s="339"/>
      <c r="AK171" s="339"/>
      <c r="AL171" s="339"/>
      <c r="AM171" s="339"/>
      <c r="AN171" s="339"/>
      <c r="AO171" s="339">
        <f t="shared" si="75"/>
        <v>0</v>
      </c>
      <c r="AQ171" s="339"/>
      <c r="AR171" s="339"/>
      <c r="AS171" s="339"/>
      <c r="AT171" s="339"/>
      <c r="AU171" s="339"/>
      <c r="AV171" s="339">
        <f t="shared" si="76"/>
        <v>0</v>
      </c>
      <c r="AX171" s="339"/>
      <c r="AY171" s="339"/>
      <c r="AZ171" s="339"/>
      <c r="BA171" s="339"/>
      <c r="BB171" s="339"/>
      <c r="BC171" s="339">
        <f t="shared" si="77"/>
        <v>0</v>
      </c>
      <c r="BE171" s="339"/>
      <c r="BF171" s="339"/>
      <c r="BG171" s="339"/>
      <c r="BH171" s="339"/>
      <c r="BI171" s="339"/>
      <c r="BJ171" s="339">
        <f t="shared" si="78"/>
        <v>0</v>
      </c>
      <c r="BL171" s="339"/>
      <c r="BM171" s="339"/>
      <c r="BN171" s="339"/>
      <c r="BO171" s="339"/>
      <c r="BP171" s="339"/>
      <c r="BQ171" s="339">
        <f t="shared" si="79"/>
        <v>0</v>
      </c>
      <c r="BS171" s="339"/>
      <c r="BT171" s="339"/>
      <c r="BU171" s="339"/>
      <c r="BV171" s="339"/>
      <c r="BW171" s="339"/>
      <c r="BX171" s="339">
        <f t="shared" si="80"/>
        <v>0</v>
      </c>
      <c r="BZ171" s="339"/>
      <c r="CA171" s="339"/>
      <c r="CB171" s="339"/>
      <c r="CC171" s="339"/>
      <c r="CD171" s="339"/>
      <c r="CE171" s="339">
        <f t="shared" si="81"/>
        <v>0</v>
      </c>
      <c r="CG171" s="339"/>
      <c r="CH171" s="339"/>
      <c r="CI171" s="339"/>
      <c r="CJ171" s="339"/>
      <c r="CK171" s="339"/>
      <c r="CL171" s="339">
        <f t="shared" si="82"/>
        <v>0</v>
      </c>
      <c r="CN171" s="339"/>
      <c r="CO171" s="339"/>
      <c r="CP171" s="339"/>
      <c r="CQ171" s="339"/>
      <c r="CR171" s="339"/>
      <c r="CS171" s="339">
        <f t="shared" si="83"/>
        <v>0</v>
      </c>
      <c r="CU171" s="339"/>
      <c r="CV171" s="339"/>
      <c r="CW171" s="339"/>
      <c r="CX171" s="339"/>
      <c r="CY171" s="339"/>
      <c r="CZ171" s="339">
        <f t="shared" si="84"/>
        <v>0</v>
      </c>
      <c r="DB171" s="339"/>
      <c r="DC171" s="339"/>
      <c r="DD171" s="339"/>
      <c r="DE171" s="339"/>
      <c r="DF171" s="339"/>
      <c r="DG171" s="339">
        <f t="shared" si="59"/>
        <v>0</v>
      </c>
      <c r="DI171" s="339"/>
      <c r="DJ171" s="339"/>
      <c r="DK171" s="339"/>
      <c r="DL171" s="339"/>
      <c r="DM171" s="339"/>
      <c r="DN171" s="339">
        <f t="shared" si="60"/>
        <v>0</v>
      </c>
    </row>
    <row r="172" spans="19:118">
      <c r="S172" s="412"/>
      <c r="T172" s="417"/>
      <c r="V172" s="339">
        <v>1.6</v>
      </c>
      <c r="W172" s="339">
        <v>2.9</v>
      </c>
      <c r="X172" s="339"/>
      <c r="Y172" s="339"/>
      <c r="Z172" s="339"/>
      <c r="AA172" s="339">
        <f t="shared" si="73"/>
        <v>4.6399999999999997</v>
      </c>
      <c r="AC172" s="339"/>
      <c r="AD172" s="339"/>
      <c r="AE172" s="339"/>
      <c r="AF172" s="339"/>
      <c r="AG172" s="339"/>
      <c r="AH172" s="339">
        <f t="shared" si="74"/>
        <v>0</v>
      </c>
      <c r="AJ172" s="339"/>
      <c r="AK172" s="339"/>
      <c r="AL172" s="339"/>
      <c r="AM172" s="339"/>
      <c r="AN172" s="339"/>
      <c r="AO172" s="339">
        <f t="shared" si="75"/>
        <v>0</v>
      </c>
      <c r="AQ172" s="339"/>
      <c r="AR172" s="339"/>
      <c r="AS172" s="339"/>
      <c r="AT172" s="339"/>
      <c r="AU172" s="339"/>
      <c r="AV172" s="339">
        <f t="shared" si="76"/>
        <v>0</v>
      </c>
      <c r="AX172" s="339"/>
      <c r="AY172" s="339"/>
      <c r="AZ172" s="339"/>
      <c r="BA172" s="339"/>
      <c r="BB172" s="339"/>
      <c r="BC172" s="339">
        <f t="shared" si="77"/>
        <v>0</v>
      </c>
      <c r="BE172" s="339"/>
      <c r="BF172" s="339"/>
      <c r="BG172" s="339"/>
      <c r="BH172" s="339"/>
      <c r="BI172" s="339"/>
      <c r="BJ172" s="339">
        <f t="shared" si="78"/>
        <v>0</v>
      </c>
      <c r="BL172" s="339"/>
      <c r="BM172" s="339"/>
      <c r="BN172" s="339"/>
      <c r="BO172" s="339"/>
      <c r="BP172" s="339"/>
      <c r="BQ172" s="339">
        <f t="shared" si="79"/>
        <v>0</v>
      </c>
      <c r="BS172" s="339"/>
      <c r="BT172" s="339"/>
      <c r="BU172" s="339"/>
      <c r="BV172" s="339"/>
      <c r="BW172" s="339"/>
      <c r="BX172" s="339">
        <f t="shared" si="80"/>
        <v>0</v>
      </c>
      <c r="BZ172" s="339"/>
      <c r="CA172" s="339"/>
      <c r="CB172" s="339"/>
      <c r="CC172" s="339"/>
      <c r="CD172" s="339"/>
      <c r="CE172" s="339">
        <f t="shared" si="81"/>
        <v>0</v>
      </c>
      <c r="CG172" s="339"/>
      <c r="CH172" s="339"/>
      <c r="CI172" s="339"/>
      <c r="CJ172" s="339"/>
      <c r="CK172" s="339"/>
      <c r="CL172" s="339">
        <f t="shared" si="82"/>
        <v>0</v>
      </c>
      <c r="CN172" s="339"/>
      <c r="CO172" s="339"/>
      <c r="CP172" s="339"/>
      <c r="CQ172" s="339"/>
      <c r="CR172" s="339"/>
      <c r="CS172" s="339">
        <f t="shared" si="83"/>
        <v>0</v>
      </c>
      <c r="CU172" s="339"/>
      <c r="CV172" s="339"/>
      <c r="CW172" s="339"/>
      <c r="CX172" s="339"/>
      <c r="CY172" s="339"/>
      <c r="CZ172" s="339">
        <f t="shared" si="84"/>
        <v>0</v>
      </c>
      <c r="DB172" s="339"/>
      <c r="DC172" s="339"/>
      <c r="DD172" s="339"/>
      <c r="DE172" s="339"/>
      <c r="DF172" s="339"/>
      <c r="DG172" s="339">
        <f t="shared" si="59"/>
        <v>0</v>
      </c>
      <c r="DI172" s="339"/>
      <c r="DJ172" s="339"/>
      <c r="DK172" s="339"/>
      <c r="DL172" s="339"/>
      <c r="DM172" s="339"/>
      <c r="DN172" s="339">
        <f t="shared" si="60"/>
        <v>0</v>
      </c>
    </row>
    <row r="173" spans="19:118">
      <c r="S173" s="417"/>
      <c r="T173" s="417"/>
      <c r="V173" s="339">
        <v>1.6</v>
      </c>
      <c r="W173" s="339">
        <v>2.9</v>
      </c>
      <c r="X173" s="339"/>
      <c r="Y173" s="339"/>
      <c r="Z173" s="339"/>
      <c r="AA173" s="339">
        <f t="shared" si="73"/>
        <v>4.6399999999999997</v>
      </c>
      <c r="AC173" s="339"/>
      <c r="AD173" s="339"/>
      <c r="AE173" s="339"/>
      <c r="AF173" s="339"/>
      <c r="AG173" s="339"/>
      <c r="AH173" s="339">
        <f t="shared" si="74"/>
        <v>0</v>
      </c>
      <c r="AJ173" s="339"/>
      <c r="AK173" s="339"/>
      <c r="AL173" s="339"/>
      <c r="AM173" s="339"/>
      <c r="AN173" s="339"/>
      <c r="AO173" s="339">
        <f t="shared" si="75"/>
        <v>0</v>
      </c>
      <c r="AQ173" s="339"/>
      <c r="AR173" s="339"/>
      <c r="AS173" s="339"/>
      <c r="AT173" s="339"/>
      <c r="AU173" s="339"/>
      <c r="AV173" s="339">
        <f t="shared" si="76"/>
        <v>0</v>
      </c>
      <c r="AX173" s="339"/>
      <c r="AY173" s="339"/>
      <c r="AZ173" s="339"/>
      <c r="BA173" s="339"/>
      <c r="BB173" s="339"/>
      <c r="BC173" s="339">
        <f t="shared" si="77"/>
        <v>0</v>
      </c>
      <c r="BE173" s="339"/>
      <c r="BF173" s="339"/>
      <c r="BG173" s="339"/>
      <c r="BH173" s="339"/>
      <c r="BI173" s="339"/>
      <c r="BJ173" s="339">
        <f t="shared" si="78"/>
        <v>0</v>
      </c>
      <c r="BL173" s="339"/>
      <c r="BM173" s="339"/>
      <c r="BN173" s="339"/>
      <c r="BO173" s="339"/>
      <c r="BP173" s="339"/>
      <c r="BQ173" s="339">
        <f t="shared" si="79"/>
        <v>0</v>
      </c>
      <c r="BS173" s="339"/>
      <c r="BT173" s="339"/>
      <c r="BU173" s="339"/>
      <c r="BV173" s="339"/>
      <c r="BW173" s="339"/>
      <c r="BX173" s="339">
        <f t="shared" si="80"/>
        <v>0</v>
      </c>
      <c r="BZ173" s="339"/>
      <c r="CA173" s="339"/>
      <c r="CB173" s="339"/>
      <c r="CC173" s="339"/>
      <c r="CD173" s="339"/>
      <c r="CE173" s="339">
        <f t="shared" si="81"/>
        <v>0</v>
      </c>
      <c r="CG173" s="339"/>
      <c r="CH173" s="339"/>
      <c r="CI173" s="339"/>
      <c r="CJ173" s="339"/>
      <c r="CK173" s="339"/>
      <c r="CL173" s="339">
        <f t="shared" si="82"/>
        <v>0</v>
      </c>
      <c r="CN173" s="339"/>
      <c r="CO173" s="339"/>
      <c r="CP173" s="339"/>
      <c r="CQ173" s="339"/>
      <c r="CR173" s="339"/>
      <c r="CS173" s="339">
        <f t="shared" si="83"/>
        <v>0</v>
      </c>
      <c r="CU173" s="339"/>
      <c r="CV173" s="339"/>
      <c r="CW173" s="339"/>
      <c r="CX173" s="339"/>
      <c r="CY173" s="339"/>
      <c r="CZ173" s="339">
        <f t="shared" si="84"/>
        <v>0</v>
      </c>
      <c r="DB173" s="339"/>
      <c r="DC173" s="339"/>
      <c r="DD173" s="339"/>
      <c r="DE173" s="339"/>
      <c r="DF173" s="339"/>
      <c r="DG173" s="339">
        <f t="shared" si="59"/>
        <v>0</v>
      </c>
      <c r="DI173" s="339"/>
      <c r="DJ173" s="339"/>
      <c r="DK173" s="339"/>
      <c r="DL173" s="339"/>
      <c r="DM173" s="339"/>
      <c r="DN173" s="339">
        <f t="shared" si="60"/>
        <v>0</v>
      </c>
    </row>
    <row r="174" spans="19:118">
      <c r="S174" s="417"/>
      <c r="T174" s="417"/>
      <c r="V174" s="339">
        <v>3.7</v>
      </c>
      <c r="W174" s="339">
        <v>2.9</v>
      </c>
      <c r="X174" s="339"/>
      <c r="Y174" s="339"/>
      <c r="Z174" s="339"/>
      <c r="AA174" s="339">
        <f t="shared" si="73"/>
        <v>10.73</v>
      </c>
      <c r="AC174" s="339"/>
      <c r="AD174" s="339"/>
      <c r="AE174" s="339"/>
      <c r="AF174" s="339"/>
      <c r="AG174" s="339"/>
      <c r="AH174" s="339">
        <f t="shared" si="74"/>
        <v>0</v>
      </c>
      <c r="AJ174" s="339"/>
      <c r="AK174" s="339"/>
      <c r="AL174" s="339"/>
      <c r="AM174" s="339"/>
      <c r="AN174" s="339"/>
      <c r="AO174" s="339">
        <f t="shared" si="75"/>
        <v>0</v>
      </c>
      <c r="AQ174" s="339"/>
      <c r="AR174" s="339"/>
      <c r="AS174" s="339"/>
      <c r="AT174" s="339"/>
      <c r="AU174" s="339"/>
      <c r="AV174" s="339">
        <f t="shared" si="76"/>
        <v>0</v>
      </c>
      <c r="AX174" s="339"/>
      <c r="AY174" s="339"/>
      <c r="AZ174" s="339"/>
      <c r="BA174" s="339"/>
      <c r="BB174" s="339"/>
      <c r="BC174" s="339">
        <f t="shared" si="77"/>
        <v>0</v>
      </c>
      <c r="BE174" s="339"/>
      <c r="BF174" s="339"/>
      <c r="BG174" s="339"/>
      <c r="BH174" s="339"/>
      <c r="BI174" s="339"/>
      <c r="BJ174" s="339">
        <f t="shared" si="78"/>
        <v>0</v>
      </c>
      <c r="BL174" s="339"/>
      <c r="BM174" s="339"/>
      <c r="BN174" s="339"/>
      <c r="BO174" s="339"/>
      <c r="BP174" s="339"/>
      <c r="BQ174" s="339">
        <f t="shared" si="79"/>
        <v>0</v>
      </c>
      <c r="BS174" s="339"/>
      <c r="BT174" s="339"/>
      <c r="BU174" s="339"/>
      <c r="BV174" s="339"/>
      <c r="BW174" s="339"/>
      <c r="BX174" s="339">
        <f t="shared" si="80"/>
        <v>0</v>
      </c>
      <c r="BZ174" s="339"/>
      <c r="CA174" s="339"/>
      <c r="CB174" s="339"/>
      <c r="CC174" s="339"/>
      <c r="CD174" s="339"/>
      <c r="CE174" s="339">
        <f t="shared" si="81"/>
        <v>0</v>
      </c>
      <c r="CG174" s="339"/>
      <c r="CH174" s="339"/>
      <c r="CI174" s="339"/>
      <c r="CJ174" s="339"/>
      <c r="CK174" s="339"/>
      <c r="CL174" s="339">
        <f t="shared" si="82"/>
        <v>0</v>
      </c>
      <c r="CN174" s="339"/>
      <c r="CO174" s="339"/>
      <c r="CP174" s="339"/>
      <c r="CQ174" s="339"/>
      <c r="CR174" s="339"/>
      <c r="CS174" s="339">
        <f t="shared" si="83"/>
        <v>0</v>
      </c>
      <c r="CU174" s="339"/>
      <c r="CV174" s="339"/>
      <c r="CW174" s="339"/>
      <c r="CX174" s="339"/>
      <c r="CY174" s="339"/>
      <c r="CZ174" s="339">
        <f t="shared" si="84"/>
        <v>0</v>
      </c>
      <c r="DB174" s="339"/>
      <c r="DC174" s="339"/>
      <c r="DD174" s="339"/>
      <c r="DE174" s="339"/>
      <c r="DF174" s="339"/>
      <c r="DG174" s="339">
        <f t="shared" si="59"/>
        <v>0</v>
      </c>
      <c r="DI174" s="339"/>
      <c r="DJ174" s="339"/>
      <c r="DK174" s="339"/>
      <c r="DL174" s="339"/>
      <c r="DM174" s="339"/>
      <c r="DN174" s="339">
        <f t="shared" si="60"/>
        <v>0</v>
      </c>
    </row>
    <row r="175" spans="19:118">
      <c r="S175" s="417"/>
      <c r="T175" s="417"/>
      <c r="V175" s="339">
        <v>3.7</v>
      </c>
      <c r="W175" s="339">
        <v>2.9</v>
      </c>
      <c r="X175" s="339"/>
      <c r="Y175" s="339"/>
      <c r="Z175" s="339"/>
      <c r="AA175" s="339">
        <f t="shared" si="73"/>
        <v>10.73</v>
      </c>
      <c r="AC175" s="339"/>
      <c r="AD175" s="339"/>
      <c r="AE175" s="339"/>
      <c r="AF175" s="339"/>
      <c r="AG175" s="339"/>
      <c r="AH175" s="339">
        <f t="shared" si="74"/>
        <v>0</v>
      </c>
      <c r="AJ175" s="339"/>
      <c r="AK175" s="339"/>
      <c r="AL175" s="339"/>
      <c r="AM175" s="339"/>
      <c r="AN175" s="339"/>
      <c r="AO175" s="339">
        <f t="shared" si="75"/>
        <v>0</v>
      </c>
      <c r="AQ175" s="339"/>
      <c r="AR175" s="339"/>
      <c r="AS175" s="339"/>
      <c r="AT175" s="339"/>
      <c r="AU175" s="339"/>
      <c r="AV175" s="339">
        <f t="shared" si="76"/>
        <v>0</v>
      </c>
      <c r="AX175" s="339"/>
      <c r="AY175" s="339"/>
      <c r="AZ175" s="339"/>
      <c r="BA175" s="339"/>
      <c r="BB175" s="339"/>
      <c r="BC175" s="339">
        <f t="shared" si="77"/>
        <v>0</v>
      </c>
      <c r="BE175" s="339"/>
      <c r="BF175" s="339"/>
      <c r="BG175" s="339"/>
      <c r="BH175" s="339"/>
      <c r="BI175" s="339"/>
      <c r="BJ175" s="339">
        <f t="shared" si="78"/>
        <v>0</v>
      </c>
      <c r="BL175" s="339"/>
      <c r="BM175" s="339"/>
      <c r="BN175" s="339"/>
      <c r="BO175" s="339"/>
      <c r="BP175" s="339"/>
      <c r="BQ175" s="339">
        <f t="shared" si="79"/>
        <v>0</v>
      </c>
      <c r="BS175" s="339"/>
      <c r="BT175" s="339"/>
      <c r="BU175" s="339"/>
      <c r="BV175" s="339"/>
      <c r="BW175" s="339"/>
      <c r="BX175" s="339">
        <f t="shared" si="80"/>
        <v>0</v>
      </c>
      <c r="BZ175" s="339"/>
      <c r="CA175" s="339"/>
      <c r="CB175" s="339"/>
      <c r="CC175" s="339"/>
      <c r="CD175" s="339"/>
      <c r="CE175" s="339">
        <f t="shared" si="81"/>
        <v>0</v>
      </c>
      <c r="CG175" s="339"/>
      <c r="CH175" s="339"/>
      <c r="CI175" s="339"/>
      <c r="CJ175" s="339"/>
      <c r="CK175" s="339"/>
      <c r="CL175" s="339">
        <f t="shared" si="82"/>
        <v>0</v>
      </c>
      <c r="CN175" s="339"/>
      <c r="CO175" s="339"/>
      <c r="CP175" s="339"/>
      <c r="CQ175" s="339"/>
      <c r="CR175" s="339"/>
      <c r="CS175" s="339">
        <f t="shared" si="83"/>
        <v>0</v>
      </c>
      <c r="CU175" s="339"/>
      <c r="CV175" s="339"/>
      <c r="CW175" s="339"/>
      <c r="CX175" s="339"/>
      <c r="CY175" s="339"/>
      <c r="CZ175" s="339">
        <f t="shared" si="84"/>
        <v>0</v>
      </c>
      <c r="DB175" s="339"/>
      <c r="DC175" s="339"/>
      <c r="DD175" s="339"/>
      <c r="DE175" s="339"/>
      <c r="DF175" s="339"/>
      <c r="DG175" s="339">
        <f t="shared" si="59"/>
        <v>0</v>
      </c>
      <c r="DI175" s="339"/>
      <c r="DJ175" s="339"/>
      <c r="DK175" s="339"/>
      <c r="DL175" s="339"/>
      <c r="DM175" s="339"/>
      <c r="DN175" s="339">
        <f t="shared" si="60"/>
        <v>0</v>
      </c>
    </row>
    <row r="176" spans="19:118">
      <c r="S176" s="412"/>
      <c r="T176" s="412"/>
      <c r="V176" s="339">
        <v>3.7</v>
      </c>
      <c r="W176" s="339">
        <v>2.9</v>
      </c>
      <c r="X176" s="339"/>
      <c r="Y176" s="339"/>
      <c r="Z176" s="339"/>
      <c r="AA176" s="339">
        <f t="shared" si="73"/>
        <v>10.73</v>
      </c>
      <c r="AC176" s="339"/>
      <c r="AD176" s="339"/>
      <c r="AE176" s="339"/>
      <c r="AF176" s="339"/>
      <c r="AG176" s="339"/>
      <c r="AH176" s="339">
        <f t="shared" si="74"/>
        <v>0</v>
      </c>
      <c r="AJ176" s="339"/>
      <c r="AK176" s="339"/>
      <c r="AL176" s="339"/>
      <c r="AM176" s="339"/>
      <c r="AN176" s="339"/>
      <c r="AO176" s="339">
        <f t="shared" si="75"/>
        <v>0</v>
      </c>
      <c r="AQ176" s="339"/>
      <c r="AR176" s="339"/>
      <c r="AS176" s="339"/>
      <c r="AT176" s="339"/>
      <c r="AU176" s="339"/>
      <c r="AV176" s="339">
        <f t="shared" si="76"/>
        <v>0</v>
      </c>
      <c r="AX176" s="339"/>
      <c r="AY176" s="339"/>
      <c r="AZ176" s="339"/>
      <c r="BA176" s="339"/>
      <c r="BB176" s="339"/>
      <c r="BC176" s="339">
        <f t="shared" si="77"/>
        <v>0</v>
      </c>
      <c r="BE176" s="339"/>
      <c r="BF176" s="339"/>
      <c r="BG176" s="339"/>
      <c r="BH176" s="339"/>
      <c r="BI176" s="339"/>
      <c r="BJ176" s="339">
        <f t="shared" si="78"/>
        <v>0</v>
      </c>
      <c r="BL176" s="339"/>
      <c r="BM176" s="339"/>
      <c r="BN176" s="339"/>
      <c r="BO176" s="339"/>
      <c r="BP176" s="339"/>
      <c r="BQ176" s="339">
        <f t="shared" si="79"/>
        <v>0</v>
      </c>
      <c r="BS176" s="339"/>
      <c r="BT176" s="339"/>
      <c r="BU176" s="339"/>
      <c r="BV176" s="339"/>
      <c r="BW176" s="339"/>
      <c r="BX176" s="339">
        <f t="shared" si="80"/>
        <v>0</v>
      </c>
      <c r="BZ176" s="339"/>
      <c r="CA176" s="339"/>
      <c r="CB176" s="339"/>
      <c r="CC176" s="339"/>
      <c r="CD176" s="339"/>
      <c r="CE176" s="339">
        <f t="shared" si="81"/>
        <v>0</v>
      </c>
      <c r="CG176" s="339"/>
      <c r="CH176" s="339"/>
      <c r="CI176" s="339"/>
      <c r="CJ176" s="339"/>
      <c r="CK176" s="339"/>
      <c r="CL176" s="339">
        <f t="shared" si="82"/>
        <v>0</v>
      </c>
      <c r="CN176" s="339"/>
      <c r="CO176" s="339"/>
      <c r="CP176" s="339"/>
      <c r="CQ176" s="339"/>
      <c r="CR176" s="339"/>
      <c r="CS176" s="339">
        <f t="shared" si="83"/>
        <v>0</v>
      </c>
      <c r="CU176" s="339"/>
      <c r="CV176" s="339"/>
      <c r="CW176" s="339"/>
      <c r="CX176" s="339"/>
      <c r="CY176" s="339"/>
      <c r="CZ176" s="339">
        <f t="shared" si="84"/>
        <v>0</v>
      </c>
      <c r="DB176" s="339"/>
      <c r="DC176" s="339"/>
      <c r="DD176" s="339"/>
      <c r="DE176" s="339"/>
      <c r="DF176" s="339"/>
      <c r="DG176" s="339">
        <f t="shared" si="59"/>
        <v>0</v>
      </c>
      <c r="DI176" s="339"/>
      <c r="DJ176" s="339"/>
      <c r="DK176" s="339"/>
      <c r="DL176" s="339"/>
      <c r="DM176" s="339"/>
      <c r="DN176" s="339">
        <f t="shared" si="60"/>
        <v>0</v>
      </c>
    </row>
    <row r="177" spans="19:118">
      <c r="S177" s="412"/>
      <c r="T177" s="412"/>
      <c r="V177" s="339">
        <v>3.7</v>
      </c>
      <c r="W177" s="339">
        <v>2.9</v>
      </c>
      <c r="X177" s="339"/>
      <c r="Y177" s="339"/>
      <c r="Z177" s="339"/>
      <c r="AA177" s="339">
        <f t="shared" si="73"/>
        <v>10.73</v>
      </c>
      <c r="AC177" s="339"/>
      <c r="AD177" s="339"/>
      <c r="AE177" s="339"/>
      <c r="AF177" s="339"/>
      <c r="AG177" s="339"/>
      <c r="AH177" s="339">
        <f t="shared" si="74"/>
        <v>0</v>
      </c>
      <c r="AJ177" s="339"/>
      <c r="AK177" s="339"/>
      <c r="AL177" s="339"/>
      <c r="AM177" s="339"/>
      <c r="AN177" s="339"/>
      <c r="AO177" s="339">
        <f t="shared" si="75"/>
        <v>0</v>
      </c>
      <c r="AQ177" s="339"/>
      <c r="AR177" s="339"/>
      <c r="AS177" s="339"/>
      <c r="AT177" s="339"/>
      <c r="AU177" s="339"/>
      <c r="AV177" s="339">
        <f t="shared" si="76"/>
        <v>0</v>
      </c>
      <c r="AX177" s="339"/>
      <c r="AY177" s="339"/>
      <c r="AZ177" s="339"/>
      <c r="BA177" s="339"/>
      <c r="BB177" s="339"/>
      <c r="BC177" s="339">
        <f t="shared" si="77"/>
        <v>0</v>
      </c>
      <c r="BE177" s="339"/>
      <c r="BF177" s="339"/>
      <c r="BG177" s="339"/>
      <c r="BH177" s="339"/>
      <c r="BI177" s="339"/>
      <c r="BJ177" s="339">
        <f t="shared" si="78"/>
        <v>0</v>
      </c>
      <c r="BL177" s="339"/>
      <c r="BM177" s="339"/>
      <c r="BN177" s="339"/>
      <c r="BO177" s="339"/>
      <c r="BP177" s="339"/>
      <c r="BQ177" s="339">
        <f t="shared" si="79"/>
        <v>0</v>
      </c>
      <c r="BS177" s="339"/>
      <c r="BT177" s="339"/>
      <c r="BU177" s="339"/>
      <c r="BV177" s="339"/>
      <c r="BW177" s="339"/>
      <c r="BX177" s="339">
        <f t="shared" si="80"/>
        <v>0</v>
      </c>
      <c r="BZ177" s="339"/>
      <c r="CA177" s="339"/>
      <c r="CB177" s="339"/>
      <c r="CC177" s="339"/>
      <c r="CD177" s="339"/>
      <c r="CE177" s="339">
        <f t="shared" si="81"/>
        <v>0</v>
      </c>
      <c r="CG177" s="339"/>
      <c r="CH177" s="339"/>
      <c r="CI177" s="339"/>
      <c r="CJ177" s="339"/>
      <c r="CK177" s="339"/>
      <c r="CL177" s="339">
        <f t="shared" si="82"/>
        <v>0</v>
      </c>
      <c r="CN177" s="339"/>
      <c r="CO177" s="339"/>
      <c r="CP177" s="339"/>
      <c r="CQ177" s="339"/>
      <c r="CR177" s="339"/>
      <c r="CS177" s="339">
        <f t="shared" si="83"/>
        <v>0</v>
      </c>
      <c r="CU177" s="339"/>
      <c r="CV177" s="339"/>
      <c r="CW177" s="339"/>
      <c r="CX177" s="339"/>
      <c r="CY177" s="339"/>
      <c r="CZ177" s="339">
        <f t="shared" si="84"/>
        <v>0</v>
      </c>
      <c r="DB177" s="339"/>
      <c r="DC177" s="339"/>
      <c r="DD177" s="339"/>
      <c r="DE177" s="339"/>
      <c r="DF177" s="339"/>
      <c r="DG177" s="339">
        <f t="shared" si="59"/>
        <v>0</v>
      </c>
      <c r="DI177" s="339"/>
      <c r="DJ177" s="339"/>
      <c r="DK177" s="339"/>
      <c r="DL177" s="339"/>
      <c r="DM177" s="339"/>
      <c r="DN177" s="339">
        <f t="shared" si="60"/>
        <v>0</v>
      </c>
    </row>
    <row r="178" spans="19:118">
      <c r="S178" s="412"/>
      <c r="T178" s="412"/>
      <c r="V178" s="339">
        <v>3.7</v>
      </c>
      <c r="W178" s="339">
        <v>2.9</v>
      </c>
      <c r="X178" s="339"/>
      <c r="Y178" s="339" t="s">
        <v>725</v>
      </c>
      <c r="Z178" s="339">
        <f>K12</f>
        <v>3.75</v>
      </c>
      <c r="AA178" s="339">
        <f t="shared" si="73"/>
        <v>6.98</v>
      </c>
      <c r="AC178" s="339"/>
      <c r="AD178" s="339"/>
      <c r="AE178" s="339"/>
      <c r="AF178" s="339"/>
      <c r="AG178" s="339"/>
      <c r="AH178" s="339">
        <f t="shared" si="74"/>
        <v>0</v>
      </c>
      <c r="AJ178" s="339"/>
      <c r="AK178" s="339"/>
      <c r="AL178" s="339"/>
      <c r="AM178" s="339"/>
      <c r="AN178" s="339"/>
      <c r="AO178" s="339">
        <f t="shared" si="75"/>
        <v>0</v>
      </c>
      <c r="AQ178" s="339"/>
      <c r="AR178" s="339"/>
      <c r="AS178" s="339"/>
      <c r="AT178" s="339"/>
      <c r="AU178" s="339"/>
      <c r="AV178" s="339">
        <f t="shared" si="76"/>
        <v>0</v>
      </c>
      <c r="AX178" s="339"/>
      <c r="AY178" s="339"/>
      <c r="AZ178" s="339"/>
      <c r="BA178" s="339"/>
      <c r="BB178" s="339"/>
      <c r="BC178" s="339">
        <f t="shared" si="77"/>
        <v>0</v>
      </c>
      <c r="BE178" s="339"/>
      <c r="BF178" s="339"/>
      <c r="BG178" s="339"/>
      <c r="BH178" s="339"/>
      <c r="BI178" s="339"/>
      <c r="BJ178" s="339">
        <f t="shared" si="78"/>
        <v>0</v>
      </c>
      <c r="BL178" s="339"/>
      <c r="BM178" s="339"/>
      <c r="BN178" s="339"/>
      <c r="BO178" s="339"/>
      <c r="BP178" s="339"/>
      <c r="BQ178" s="339">
        <f t="shared" si="79"/>
        <v>0</v>
      </c>
      <c r="BS178" s="339"/>
      <c r="BT178" s="339"/>
      <c r="BU178" s="339"/>
      <c r="BV178" s="339"/>
      <c r="BW178" s="339"/>
      <c r="BX178" s="339">
        <f t="shared" si="80"/>
        <v>0</v>
      </c>
      <c r="BZ178" s="339"/>
      <c r="CA178" s="339"/>
      <c r="CB178" s="339"/>
      <c r="CC178" s="339"/>
      <c r="CD178" s="339"/>
      <c r="CE178" s="339">
        <f t="shared" si="81"/>
        <v>0</v>
      </c>
      <c r="CG178" s="339"/>
      <c r="CH178" s="339"/>
      <c r="CI178" s="339"/>
      <c r="CJ178" s="339"/>
      <c r="CK178" s="339"/>
      <c r="CL178" s="339">
        <f t="shared" si="82"/>
        <v>0</v>
      </c>
      <c r="CN178" s="339"/>
      <c r="CO178" s="339"/>
      <c r="CP178" s="339"/>
      <c r="CQ178" s="339"/>
      <c r="CR178" s="339"/>
      <c r="CS178" s="339">
        <f t="shared" si="83"/>
        <v>0</v>
      </c>
      <c r="CU178" s="339"/>
      <c r="CV178" s="339"/>
      <c r="CW178" s="339"/>
      <c r="CX178" s="339"/>
      <c r="CY178" s="339"/>
      <c r="CZ178" s="339">
        <f t="shared" si="84"/>
        <v>0</v>
      </c>
      <c r="DB178" s="339"/>
      <c r="DC178" s="339"/>
      <c r="DD178" s="339"/>
      <c r="DE178" s="339"/>
      <c r="DF178" s="339"/>
      <c r="DG178" s="339">
        <f t="shared" si="59"/>
        <v>0</v>
      </c>
      <c r="DI178" s="339"/>
      <c r="DJ178" s="339"/>
      <c r="DK178" s="339"/>
      <c r="DL178" s="339"/>
      <c r="DM178" s="339"/>
      <c r="DN178" s="339">
        <f t="shared" si="60"/>
        <v>0</v>
      </c>
    </row>
    <row r="179" spans="19:118">
      <c r="S179" s="412"/>
      <c r="T179" s="412"/>
      <c r="V179" s="339">
        <v>3.7</v>
      </c>
      <c r="W179" s="339">
        <v>2.9</v>
      </c>
      <c r="X179" s="339"/>
      <c r="Y179" s="339" t="s">
        <v>725</v>
      </c>
      <c r="Z179" s="339">
        <f>K12</f>
        <v>3.75</v>
      </c>
      <c r="AA179" s="339">
        <f t="shared" ref="AA179:AA186" si="85">V179*W179+X179-Z179</f>
        <v>6.98</v>
      </c>
      <c r="AC179" s="339"/>
      <c r="AD179" s="339"/>
      <c r="AE179" s="339"/>
      <c r="AF179" s="339"/>
      <c r="AG179" s="339"/>
      <c r="AH179" s="339">
        <f t="shared" ref="AH179:AH186" si="86">AC179*AD179+AE179-AG179</f>
        <v>0</v>
      </c>
      <c r="AJ179" s="339"/>
      <c r="AK179" s="339"/>
      <c r="AL179" s="339"/>
      <c r="AM179" s="339"/>
      <c r="AN179" s="339"/>
      <c r="AO179" s="339">
        <f t="shared" ref="AO179:AO186" si="87">AJ179*AK179+AL179-AN179</f>
        <v>0</v>
      </c>
      <c r="AQ179" s="339"/>
      <c r="AR179" s="339"/>
      <c r="AS179" s="339"/>
      <c r="AT179" s="339"/>
      <c r="AU179" s="339"/>
      <c r="AV179" s="339">
        <f t="shared" ref="AV179:AV186" si="88">AQ179*AR179+AS179-AU179</f>
        <v>0</v>
      </c>
      <c r="AX179" s="339"/>
      <c r="AY179" s="339"/>
      <c r="AZ179" s="339"/>
      <c r="BA179" s="339"/>
      <c r="BB179" s="339"/>
      <c r="BC179" s="339">
        <f t="shared" ref="BC179:BC186" si="89">AX179*AY179+AZ179-BB179</f>
        <v>0</v>
      </c>
      <c r="BE179" s="339"/>
      <c r="BF179" s="339"/>
      <c r="BG179" s="339"/>
      <c r="BH179" s="339"/>
      <c r="BI179" s="339"/>
      <c r="BJ179" s="339">
        <f t="shared" ref="BJ179:BJ186" si="90">BE179*BF179+BG179-BI179</f>
        <v>0</v>
      </c>
      <c r="BL179" s="339"/>
      <c r="BM179" s="339"/>
      <c r="BN179" s="339"/>
      <c r="BO179" s="339"/>
      <c r="BP179" s="339"/>
      <c r="BQ179" s="339">
        <f t="shared" ref="BQ179:BQ186" si="91">BL179*BM179+BN179-BP179</f>
        <v>0</v>
      </c>
      <c r="BS179" s="339"/>
      <c r="BT179" s="339"/>
      <c r="BU179" s="339"/>
      <c r="BV179" s="339"/>
      <c r="BW179" s="339"/>
      <c r="BX179" s="339">
        <f t="shared" ref="BX179:BX186" si="92">BS179*BT179+BU179-BW179</f>
        <v>0</v>
      </c>
      <c r="BZ179" s="339"/>
      <c r="CA179" s="339"/>
      <c r="CB179" s="339"/>
      <c r="CC179" s="339"/>
      <c r="CD179" s="339"/>
      <c r="CE179" s="339">
        <f t="shared" ref="CE179:CE186" si="93">BZ179*CA179+CB179-CD179</f>
        <v>0</v>
      </c>
      <c r="CG179" s="339"/>
      <c r="CH179" s="339"/>
      <c r="CI179" s="339"/>
      <c r="CJ179" s="339"/>
      <c r="CK179" s="339"/>
      <c r="CL179" s="339">
        <f t="shared" ref="CL179:CL186" si="94">CG179*CH179+CI179-CK179</f>
        <v>0</v>
      </c>
      <c r="CN179" s="339"/>
      <c r="CO179" s="339"/>
      <c r="CP179" s="339"/>
      <c r="CQ179" s="339"/>
      <c r="CR179" s="339"/>
      <c r="CS179" s="339">
        <f t="shared" ref="CS179:CS186" si="95">CN179*CO179+CP179-CR179</f>
        <v>0</v>
      </c>
      <c r="CU179" s="339"/>
      <c r="CV179" s="339"/>
      <c r="CW179" s="339"/>
      <c r="CX179" s="339"/>
      <c r="CY179" s="339"/>
      <c r="CZ179" s="339">
        <f t="shared" ref="CZ179:CZ186" si="96">CU179*CV179+CW179-CY179</f>
        <v>0</v>
      </c>
      <c r="DB179" s="339"/>
      <c r="DC179" s="339"/>
      <c r="DD179" s="339"/>
      <c r="DE179" s="339"/>
      <c r="DF179" s="339"/>
      <c r="DG179" s="339">
        <f t="shared" si="59"/>
        <v>0</v>
      </c>
      <c r="DI179" s="339"/>
      <c r="DJ179" s="339"/>
      <c r="DK179" s="339"/>
      <c r="DL179" s="339"/>
      <c r="DM179" s="339"/>
      <c r="DN179" s="339">
        <f t="shared" si="60"/>
        <v>0</v>
      </c>
    </row>
    <row r="180" spans="19:118">
      <c r="S180" s="412"/>
      <c r="T180" s="417"/>
      <c r="V180" s="339">
        <v>3.7</v>
      </c>
      <c r="W180" s="339">
        <v>2.9</v>
      </c>
      <c r="X180" s="339"/>
      <c r="Y180" s="339"/>
      <c r="Z180" s="339"/>
      <c r="AA180" s="339">
        <f t="shared" si="85"/>
        <v>10.73</v>
      </c>
      <c r="AC180" s="339"/>
      <c r="AD180" s="339"/>
      <c r="AE180" s="339"/>
      <c r="AF180" s="339"/>
      <c r="AG180" s="339"/>
      <c r="AH180" s="339">
        <f t="shared" si="86"/>
        <v>0</v>
      </c>
      <c r="AJ180" s="339"/>
      <c r="AK180" s="339"/>
      <c r="AL180" s="339"/>
      <c r="AM180" s="339"/>
      <c r="AN180" s="339"/>
      <c r="AO180" s="339">
        <f t="shared" si="87"/>
        <v>0</v>
      </c>
      <c r="AQ180" s="339"/>
      <c r="AR180" s="339"/>
      <c r="AS180" s="339"/>
      <c r="AT180" s="339"/>
      <c r="AU180" s="339"/>
      <c r="AV180" s="339">
        <f t="shared" si="88"/>
        <v>0</v>
      </c>
      <c r="AX180" s="339"/>
      <c r="AY180" s="339"/>
      <c r="AZ180" s="339"/>
      <c r="BA180" s="339"/>
      <c r="BB180" s="339"/>
      <c r="BC180" s="339">
        <f t="shared" si="89"/>
        <v>0</v>
      </c>
      <c r="BE180" s="339"/>
      <c r="BF180" s="339"/>
      <c r="BG180" s="339"/>
      <c r="BH180" s="339"/>
      <c r="BI180" s="339"/>
      <c r="BJ180" s="339">
        <f t="shared" si="90"/>
        <v>0</v>
      </c>
      <c r="BL180" s="339"/>
      <c r="BM180" s="339"/>
      <c r="BN180" s="339"/>
      <c r="BO180" s="339"/>
      <c r="BP180" s="339"/>
      <c r="BQ180" s="339">
        <f t="shared" si="91"/>
        <v>0</v>
      </c>
      <c r="BS180" s="339"/>
      <c r="BT180" s="339"/>
      <c r="BU180" s="339"/>
      <c r="BV180" s="339"/>
      <c r="BW180" s="339"/>
      <c r="BX180" s="339">
        <f t="shared" si="92"/>
        <v>0</v>
      </c>
      <c r="BZ180" s="339"/>
      <c r="CA180" s="339"/>
      <c r="CB180" s="339"/>
      <c r="CC180" s="339"/>
      <c r="CD180" s="339"/>
      <c r="CE180" s="339">
        <f t="shared" si="93"/>
        <v>0</v>
      </c>
      <c r="CG180" s="339"/>
      <c r="CH180" s="339"/>
      <c r="CI180" s="339"/>
      <c r="CJ180" s="339"/>
      <c r="CK180" s="339"/>
      <c r="CL180" s="339">
        <f t="shared" si="94"/>
        <v>0</v>
      </c>
      <c r="CN180" s="339"/>
      <c r="CO180" s="339"/>
      <c r="CP180" s="339"/>
      <c r="CQ180" s="339"/>
      <c r="CR180" s="339"/>
      <c r="CS180" s="339">
        <f t="shared" si="95"/>
        <v>0</v>
      </c>
      <c r="CU180" s="339"/>
      <c r="CV180" s="339"/>
      <c r="CW180" s="339"/>
      <c r="CX180" s="339"/>
      <c r="CY180" s="339"/>
      <c r="CZ180" s="339">
        <f t="shared" si="96"/>
        <v>0</v>
      </c>
      <c r="DB180" s="339"/>
      <c r="DC180" s="339"/>
      <c r="DD180" s="339"/>
      <c r="DE180" s="339"/>
      <c r="DF180" s="339"/>
      <c r="DG180" s="339">
        <f t="shared" si="59"/>
        <v>0</v>
      </c>
      <c r="DI180" s="339"/>
      <c r="DJ180" s="339"/>
      <c r="DK180" s="339"/>
      <c r="DL180" s="339"/>
      <c r="DM180" s="339"/>
      <c r="DN180" s="339">
        <f t="shared" si="60"/>
        <v>0</v>
      </c>
    </row>
    <row r="181" spans="19:118">
      <c r="S181" s="417"/>
      <c r="T181" s="417"/>
      <c r="V181" s="339">
        <v>3.7</v>
      </c>
      <c r="W181" s="339">
        <v>2.9</v>
      </c>
      <c r="X181" s="339"/>
      <c r="Y181" s="339"/>
      <c r="Z181" s="339"/>
      <c r="AA181" s="339">
        <f t="shared" si="85"/>
        <v>10.73</v>
      </c>
      <c r="AC181" s="339"/>
      <c r="AD181" s="339"/>
      <c r="AE181" s="339"/>
      <c r="AF181" s="339"/>
      <c r="AG181" s="339"/>
      <c r="AH181" s="339">
        <f t="shared" si="86"/>
        <v>0</v>
      </c>
      <c r="AJ181" s="339"/>
      <c r="AK181" s="339"/>
      <c r="AL181" s="339"/>
      <c r="AM181" s="339"/>
      <c r="AN181" s="339"/>
      <c r="AO181" s="339">
        <f t="shared" si="87"/>
        <v>0</v>
      </c>
      <c r="AQ181" s="339"/>
      <c r="AR181" s="339"/>
      <c r="AS181" s="339"/>
      <c r="AT181" s="339"/>
      <c r="AU181" s="339"/>
      <c r="AV181" s="339">
        <f t="shared" si="88"/>
        <v>0</v>
      </c>
      <c r="AX181" s="339"/>
      <c r="AY181" s="339"/>
      <c r="AZ181" s="339"/>
      <c r="BA181" s="339"/>
      <c r="BB181" s="339"/>
      <c r="BC181" s="339">
        <f t="shared" si="89"/>
        <v>0</v>
      </c>
      <c r="BE181" s="339"/>
      <c r="BF181" s="339"/>
      <c r="BG181" s="339"/>
      <c r="BH181" s="339"/>
      <c r="BI181" s="339"/>
      <c r="BJ181" s="339">
        <f t="shared" si="90"/>
        <v>0</v>
      </c>
      <c r="BL181" s="339"/>
      <c r="BM181" s="339"/>
      <c r="BN181" s="339"/>
      <c r="BO181" s="339"/>
      <c r="BP181" s="339"/>
      <c r="BQ181" s="339">
        <f t="shared" si="91"/>
        <v>0</v>
      </c>
      <c r="BS181" s="339"/>
      <c r="BT181" s="339"/>
      <c r="BU181" s="339"/>
      <c r="BV181" s="339"/>
      <c r="BW181" s="339"/>
      <c r="BX181" s="339">
        <f t="shared" si="92"/>
        <v>0</v>
      </c>
      <c r="BZ181" s="339"/>
      <c r="CA181" s="339"/>
      <c r="CB181" s="339"/>
      <c r="CC181" s="339"/>
      <c r="CD181" s="339"/>
      <c r="CE181" s="339">
        <f t="shared" si="93"/>
        <v>0</v>
      </c>
      <c r="CG181" s="339"/>
      <c r="CH181" s="339"/>
      <c r="CI181" s="339"/>
      <c r="CJ181" s="339"/>
      <c r="CK181" s="339"/>
      <c r="CL181" s="339">
        <f t="shared" si="94"/>
        <v>0</v>
      </c>
      <c r="CN181" s="339"/>
      <c r="CO181" s="339"/>
      <c r="CP181" s="339"/>
      <c r="CQ181" s="339"/>
      <c r="CR181" s="339"/>
      <c r="CS181" s="339">
        <f t="shared" si="95"/>
        <v>0</v>
      </c>
      <c r="CU181" s="339"/>
      <c r="CV181" s="339"/>
      <c r="CW181" s="339"/>
      <c r="CX181" s="339"/>
      <c r="CY181" s="339"/>
      <c r="CZ181" s="339">
        <f t="shared" si="96"/>
        <v>0</v>
      </c>
      <c r="DB181" s="339"/>
      <c r="DC181" s="339"/>
      <c r="DD181" s="339"/>
      <c r="DE181" s="339"/>
      <c r="DF181" s="339"/>
      <c r="DG181" s="339">
        <f t="shared" si="59"/>
        <v>0</v>
      </c>
      <c r="DI181" s="339"/>
      <c r="DJ181" s="339"/>
      <c r="DK181" s="339"/>
      <c r="DL181" s="339"/>
      <c r="DM181" s="339"/>
      <c r="DN181" s="339">
        <f t="shared" si="60"/>
        <v>0</v>
      </c>
    </row>
    <row r="182" spans="19:118">
      <c r="S182" s="417"/>
      <c r="T182" s="417"/>
      <c r="V182" s="339">
        <v>3.7</v>
      </c>
      <c r="W182" s="339">
        <v>2.9</v>
      </c>
      <c r="X182" s="339"/>
      <c r="Y182" s="339"/>
      <c r="Z182" s="339"/>
      <c r="AA182" s="339">
        <f t="shared" si="85"/>
        <v>10.73</v>
      </c>
      <c r="AC182" s="339"/>
      <c r="AD182" s="339"/>
      <c r="AE182" s="339"/>
      <c r="AF182" s="339"/>
      <c r="AG182" s="339"/>
      <c r="AH182" s="339">
        <f t="shared" si="86"/>
        <v>0</v>
      </c>
      <c r="AJ182" s="339"/>
      <c r="AK182" s="339"/>
      <c r="AL182" s="339"/>
      <c r="AM182" s="339"/>
      <c r="AN182" s="339"/>
      <c r="AO182" s="339">
        <f t="shared" si="87"/>
        <v>0</v>
      </c>
      <c r="AQ182" s="339"/>
      <c r="AR182" s="339"/>
      <c r="AS182" s="339"/>
      <c r="AT182" s="339"/>
      <c r="AU182" s="339"/>
      <c r="AV182" s="339">
        <f t="shared" si="88"/>
        <v>0</v>
      </c>
      <c r="AX182" s="339"/>
      <c r="AY182" s="339"/>
      <c r="AZ182" s="339"/>
      <c r="BA182" s="339"/>
      <c r="BB182" s="339"/>
      <c r="BC182" s="339">
        <f t="shared" si="89"/>
        <v>0</v>
      </c>
      <c r="BE182" s="339"/>
      <c r="BF182" s="339"/>
      <c r="BG182" s="339"/>
      <c r="BH182" s="339"/>
      <c r="BI182" s="339"/>
      <c r="BJ182" s="339">
        <f t="shared" si="90"/>
        <v>0</v>
      </c>
      <c r="BL182" s="339"/>
      <c r="BM182" s="339"/>
      <c r="BN182" s="339"/>
      <c r="BO182" s="339"/>
      <c r="BP182" s="339"/>
      <c r="BQ182" s="339">
        <f t="shared" si="91"/>
        <v>0</v>
      </c>
      <c r="BS182" s="339"/>
      <c r="BT182" s="339"/>
      <c r="BU182" s="339"/>
      <c r="BV182" s="339"/>
      <c r="BW182" s="339"/>
      <c r="BX182" s="339">
        <f t="shared" si="92"/>
        <v>0</v>
      </c>
      <c r="BZ182" s="339"/>
      <c r="CA182" s="339"/>
      <c r="CB182" s="339"/>
      <c r="CC182" s="339"/>
      <c r="CD182" s="339"/>
      <c r="CE182" s="339">
        <f t="shared" si="93"/>
        <v>0</v>
      </c>
      <c r="CG182" s="339"/>
      <c r="CH182" s="339"/>
      <c r="CI182" s="339"/>
      <c r="CJ182" s="339"/>
      <c r="CK182" s="339"/>
      <c r="CL182" s="339">
        <f t="shared" si="94"/>
        <v>0</v>
      </c>
      <c r="CN182" s="339"/>
      <c r="CO182" s="339"/>
      <c r="CP182" s="339"/>
      <c r="CQ182" s="339"/>
      <c r="CR182" s="339"/>
      <c r="CS182" s="339">
        <f t="shared" si="95"/>
        <v>0</v>
      </c>
      <c r="CU182" s="339"/>
      <c r="CV182" s="339"/>
      <c r="CW182" s="339"/>
      <c r="CX182" s="339"/>
      <c r="CY182" s="339"/>
      <c r="CZ182" s="339">
        <f t="shared" si="96"/>
        <v>0</v>
      </c>
      <c r="DB182" s="339"/>
      <c r="DC182" s="339"/>
      <c r="DD182" s="339"/>
      <c r="DE182" s="339"/>
      <c r="DF182" s="339"/>
      <c r="DG182" s="339">
        <f t="shared" si="59"/>
        <v>0</v>
      </c>
      <c r="DI182" s="339"/>
      <c r="DJ182" s="339"/>
      <c r="DK182" s="339"/>
      <c r="DL182" s="339"/>
      <c r="DM182" s="339"/>
      <c r="DN182" s="339">
        <f t="shared" si="60"/>
        <v>0</v>
      </c>
    </row>
    <row r="183" spans="19:118">
      <c r="S183" s="417"/>
      <c r="T183" s="417"/>
      <c r="V183" s="339">
        <v>3.7</v>
      </c>
      <c r="W183" s="339">
        <v>2.9</v>
      </c>
      <c r="X183" s="339"/>
      <c r="Y183" s="339"/>
      <c r="Z183" s="339"/>
      <c r="AA183" s="339">
        <f t="shared" si="85"/>
        <v>10.73</v>
      </c>
      <c r="AC183" s="339"/>
      <c r="AD183" s="339"/>
      <c r="AE183" s="339"/>
      <c r="AF183" s="339"/>
      <c r="AG183" s="339"/>
      <c r="AH183" s="339">
        <f t="shared" si="86"/>
        <v>0</v>
      </c>
      <c r="AJ183" s="339"/>
      <c r="AK183" s="339"/>
      <c r="AL183" s="339"/>
      <c r="AM183" s="339"/>
      <c r="AN183" s="339"/>
      <c r="AO183" s="339">
        <f t="shared" si="87"/>
        <v>0</v>
      </c>
      <c r="AQ183" s="339"/>
      <c r="AR183" s="339"/>
      <c r="AS183" s="339"/>
      <c r="AT183" s="339"/>
      <c r="AU183" s="339"/>
      <c r="AV183" s="339">
        <f t="shared" si="88"/>
        <v>0</v>
      </c>
      <c r="AX183" s="339"/>
      <c r="AY183" s="339"/>
      <c r="AZ183" s="339"/>
      <c r="BA183" s="339"/>
      <c r="BB183" s="339"/>
      <c r="BC183" s="339">
        <f t="shared" si="89"/>
        <v>0</v>
      </c>
      <c r="BE183" s="339"/>
      <c r="BF183" s="339"/>
      <c r="BG183" s="339"/>
      <c r="BH183" s="339"/>
      <c r="BI183" s="339"/>
      <c r="BJ183" s="339">
        <f t="shared" si="90"/>
        <v>0</v>
      </c>
      <c r="BL183" s="339"/>
      <c r="BM183" s="339"/>
      <c r="BN183" s="339"/>
      <c r="BO183" s="339"/>
      <c r="BP183" s="339"/>
      <c r="BQ183" s="339">
        <f t="shared" si="91"/>
        <v>0</v>
      </c>
      <c r="BS183" s="339"/>
      <c r="BT183" s="339"/>
      <c r="BU183" s="339"/>
      <c r="BV183" s="339"/>
      <c r="BW183" s="339"/>
      <c r="BX183" s="339">
        <f t="shared" si="92"/>
        <v>0</v>
      </c>
      <c r="BZ183" s="339"/>
      <c r="CA183" s="339"/>
      <c r="CB183" s="339"/>
      <c r="CC183" s="339"/>
      <c r="CD183" s="339"/>
      <c r="CE183" s="339">
        <f t="shared" si="93"/>
        <v>0</v>
      </c>
      <c r="CG183" s="339"/>
      <c r="CH183" s="339"/>
      <c r="CI183" s="339"/>
      <c r="CJ183" s="339"/>
      <c r="CK183" s="339"/>
      <c r="CL183" s="339">
        <f t="shared" si="94"/>
        <v>0</v>
      </c>
      <c r="CN183" s="339"/>
      <c r="CO183" s="339"/>
      <c r="CP183" s="339"/>
      <c r="CQ183" s="339"/>
      <c r="CR183" s="339"/>
      <c r="CS183" s="339">
        <f t="shared" si="95"/>
        <v>0</v>
      </c>
      <c r="CU183" s="339"/>
      <c r="CV183" s="339"/>
      <c r="CW183" s="339"/>
      <c r="CX183" s="339"/>
      <c r="CY183" s="339"/>
      <c r="CZ183" s="339">
        <f t="shared" si="96"/>
        <v>0</v>
      </c>
      <c r="DB183" s="339"/>
      <c r="DC183" s="339"/>
      <c r="DD183" s="339"/>
      <c r="DE183" s="339"/>
      <c r="DF183" s="339"/>
      <c r="DG183" s="339">
        <f t="shared" si="59"/>
        <v>0</v>
      </c>
      <c r="DI183" s="339"/>
      <c r="DJ183" s="339"/>
      <c r="DK183" s="339"/>
      <c r="DL183" s="339"/>
      <c r="DM183" s="339"/>
      <c r="DN183" s="339">
        <f t="shared" si="60"/>
        <v>0</v>
      </c>
    </row>
    <row r="184" spans="19:118">
      <c r="S184" s="412"/>
      <c r="T184" s="412"/>
      <c r="V184" s="339">
        <v>3.7</v>
      </c>
      <c r="W184" s="339">
        <v>2.9</v>
      </c>
      <c r="X184" s="339"/>
      <c r="Y184" s="339"/>
      <c r="Z184" s="339"/>
      <c r="AA184" s="339">
        <f t="shared" si="85"/>
        <v>10.73</v>
      </c>
      <c r="AC184" s="339"/>
      <c r="AD184" s="339"/>
      <c r="AE184" s="339"/>
      <c r="AF184" s="339"/>
      <c r="AG184" s="339"/>
      <c r="AH184" s="339">
        <f t="shared" si="86"/>
        <v>0</v>
      </c>
      <c r="AJ184" s="339"/>
      <c r="AK184" s="339"/>
      <c r="AL184" s="339"/>
      <c r="AM184" s="339"/>
      <c r="AN184" s="339"/>
      <c r="AO184" s="339">
        <f t="shared" si="87"/>
        <v>0</v>
      </c>
      <c r="AQ184" s="339"/>
      <c r="AR184" s="339"/>
      <c r="AS184" s="339"/>
      <c r="AT184" s="339"/>
      <c r="AU184" s="339"/>
      <c r="AV184" s="339">
        <f t="shared" si="88"/>
        <v>0</v>
      </c>
      <c r="AX184" s="339"/>
      <c r="AY184" s="339"/>
      <c r="AZ184" s="339"/>
      <c r="BA184" s="339"/>
      <c r="BB184" s="339"/>
      <c r="BC184" s="339">
        <f t="shared" si="89"/>
        <v>0</v>
      </c>
      <c r="BE184" s="339"/>
      <c r="BF184" s="339"/>
      <c r="BG184" s="339"/>
      <c r="BH184" s="339"/>
      <c r="BI184" s="339"/>
      <c r="BJ184" s="339">
        <f t="shared" si="90"/>
        <v>0</v>
      </c>
      <c r="BL184" s="339"/>
      <c r="BM184" s="339"/>
      <c r="BN184" s="339"/>
      <c r="BO184" s="339"/>
      <c r="BP184" s="339"/>
      <c r="BQ184" s="339">
        <f t="shared" si="91"/>
        <v>0</v>
      </c>
      <c r="BS184" s="339"/>
      <c r="BT184" s="339"/>
      <c r="BU184" s="339"/>
      <c r="BV184" s="339"/>
      <c r="BW184" s="339"/>
      <c r="BX184" s="339">
        <f t="shared" si="92"/>
        <v>0</v>
      </c>
      <c r="BZ184" s="339"/>
      <c r="CA184" s="339"/>
      <c r="CB184" s="339"/>
      <c r="CC184" s="339"/>
      <c r="CD184" s="339"/>
      <c r="CE184" s="339">
        <f t="shared" si="93"/>
        <v>0</v>
      </c>
      <c r="CG184" s="339"/>
      <c r="CH184" s="339"/>
      <c r="CI184" s="339"/>
      <c r="CJ184" s="339"/>
      <c r="CK184" s="339"/>
      <c r="CL184" s="339">
        <f t="shared" si="94"/>
        <v>0</v>
      </c>
      <c r="CN184" s="339"/>
      <c r="CO184" s="339"/>
      <c r="CP184" s="339"/>
      <c r="CQ184" s="339"/>
      <c r="CR184" s="339"/>
      <c r="CS184" s="339">
        <f t="shared" si="95"/>
        <v>0</v>
      </c>
      <c r="CU184" s="339"/>
      <c r="CV184" s="339"/>
      <c r="CW184" s="339"/>
      <c r="CX184" s="339"/>
      <c r="CY184" s="339"/>
      <c r="CZ184" s="339">
        <f t="shared" si="96"/>
        <v>0</v>
      </c>
      <c r="DB184" s="339"/>
      <c r="DC184" s="339"/>
      <c r="DD184" s="339"/>
      <c r="DE184" s="339"/>
      <c r="DF184" s="339"/>
      <c r="DG184" s="339">
        <f t="shared" si="59"/>
        <v>0</v>
      </c>
      <c r="DI184" s="339"/>
      <c r="DJ184" s="339"/>
      <c r="DK184" s="339"/>
      <c r="DL184" s="339"/>
      <c r="DM184" s="339"/>
      <c r="DN184" s="339">
        <f t="shared" si="60"/>
        <v>0</v>
      </c>
    </row>
    <row r="185" spans="19:118">
      <c r="S185" s="412"/>
      <c r="T185" s="412"/>
      <c r="V185" s="339">
        <v>3.7</v>
      </c>
      <c r="W185" s="339">
        <v>2.9</v>
      </c>
      <c r="X185" s="339"/>
      <c r="Y185" s="339"/>
      <c r="Z185" s="339"/>
      <c r="AA185" s="339">
        <f t="shared" si="85"/>
        <v>10.73</v>
      </c>
      <c r="AC185" s="339"/>
      <c r="AD185" s="339"/>
      <c r="AE185" s="339"/>
      <c r="AF185" s="339"/>
      <c r="AG185" s="339"/>
      <c r="AH185" s="339">
        <f t="shared" si="86"/>
        <v>0</v>
      </c>
      <c r="AJ185" s="339"/>
      <c r="AK185" s="339"/>
      <c r="AL185" s="339"/>
      <c r="AM185" s="339"/>
      <c r="AN185" s="339"/>
      <c r="AO185" s="339">
        <f t="shared" si="87"/>
        <v>0</v>
      </c>
      <c r="AQ185" s="339"/>
      <c r="AR185" s="339"/>
      <c r="AS185" s="339"/>
      <c r="AT185" s="339"/>
      <c r="AU185" s="339"/>
      <c r="AV185" s="339">
        <f t="shared" si="88"/>
        <v>0</v>
      </c>
      <c r="AX185" s="339"/>
      <c r="AY185" s="339"/>
      <c r="AZ185" s="339"/>
      <c r="BA185" s="339"/>
      <c r="BB185" s="339"/>
      <c r="BC185" s="339">
        <f t="shared" si="89"/>
        <v>0</v>
      </c>
      <c r="BE185" s="339"/>
      <c r="BF185" s="339"/>
      <c r="BG185" s="339"/>
      <c r="BH185" s="339"/>
      <c r="BI185" s="339"/>
      <c r="BJ185" s="339">
        <f t="shared" si="90"/>
        <v>0</v>
      </c>
      <c r="BL185" s="339"/>
      <c r="BM185" s="339"/>
      <c r="BN185" s="339"/>
      <c r="BO185" s="339"/>
      <c r="BP185" s="339"/>
      <c r="BQ185" s="339">
        <f t="shared" si="91"/>
        <v>0</v>
      </c>
      <c r="BS185" s="339"/>
      <c r="BT185" s="339"/>
      <c r="BU185" s="339"/>
      <c r="BV185" s="339"/>
      <c r="BW185" s="339"/>
      <c r="BX185" s="339">
        <f t="shared" si="92"/>
        <v>0</v>
      </c>
      <c r="BZ185" s="339"/>
      <c r="CA185" s="339"/>
      <c r="CB185" s="339"/>
      <c r="CC185" s="339"/>
      <c r="CD185" s="339"/>
      <c r="CE185" s="339">
        <f t="shared" si="93"/>
        <v>0</v>
      </c>
      <c r="CG185" s="339"/>
      <c r="CH185" s="339"/>
      <c r="CI185" s="339"/>
      <c r="CJ185" s="339"/>
      <c r="CK185" s="339"/>
      <c r="CL185" s="339">
        <f t="shared" si="94"/>
        <v>0</v>
      </c>
      <c r="CN185" s="339"/>
      <c r="CO185" s="339"/>
      <c r="CP185" s="339"/>
      <c r="CQ185" s="339"/>
      <c r="CR185" s="339"/>
      <c r="CS185" s="339">
        <f t="shared" si="95"/>
        <v>0</v>
      </c>
      <c r="CU185" s="339"/>
      <c r="CV185" s="339"/>
      <c r="CW185" s="339"/>
      <c r="CX185" s="339"/>
      <c r="CY185" s="339"/>
      <c r="CZ185" s="339">
        <f t="shared" si="96"/>
        <v>0</v>
      </c>
      <c r="DB185" s="339"/>
      <c r="DC185" s="339"/>
      <c r="DD185" s="339"/>
      <c r="DE185" s="339"/>
      <c r="DF185" s="339"/>
      <c r="DG185" s="339">
        <f t="shared" si="59"/>
        <v>0</v>
      </c>
      <c r="DI185" s="339"/>
      <c r="DJ185" s="339"/>
      <c r="DK185" s="339"/>
      <c r="DL185" s="339"/>
      <c r="DM185" s="339"/>
      <c r="DN185" s="339">
        <f t="shared" si="60"/>
        <v>0</v>
      </c>
    </row>
    <row r="186" spans="19:118">
      <c r="S186" s="412"/>
      <c r="T186" s="412"/>
      <c r="V186" s="339">
        <v>3.72</v>
      </c>
      <c r="W186" s="339">
        <v>2.9</v>
      </c>
      <c r="X186" s="339"/>
      <c r="Y186" s="339" t="s">
        <v>726</v>
      </c>
      <c r="Z186" s="339">
        <f>K9</f>
        <v>1.845</v>
      </c>
      <c r="AA186" s="339">
        <f t="shared" si="85"/>
        <v>8.9429999999999996</v>
      </c>
      <c r="AC186" s="339"/>
      <c r="AD186" s="339"/>
      <c r="AE186" s="339"/>
      <c r="AF186" s="339"/>
      <c r="AG186" s="339"/>
      <c r="AH186" s="339">
        <f t="shared" si="86"/>
        <v>0</v>
      </c>
      <c r="AJ186" s="339"/>
      <c r="AK186" s="339"/>
      <c r="AL186" s="339"/>
      <c r="AM186" s="339"/>
      <c r="AN186" s="339"/>
      <c r="AO186" s="339">
        <f t="shared" si="87"/>
        <v>0</v>
      </c>
      <c r="AQ186" s="339"/>
      <c r="AR186" s="339"/>
      <c r="AS186" s="339"/>
      <c r="AT186" s="339"/>
      <c r="AU186" s="339"/>
      <c r="AV186" s="339">
        <f t="shared" si="88"/>
        <v>0</v>
      </c>
      <c r="AX186" s="339"/>
      <c r="AY186" s="339"/>
      <c r="AZ186" s="339"/>
      <c r="BA186" s="339"/>
      <c r="BB186" s="339"/>
      <c r="BC186" s="339">
        <f t="shared" si="89"/>
        <v>0</v>
      </c>
      <c r="BE186" s="339"/>
      <c r="BF186" s="339"/>
      <c r="BG186" s="339"/>
      <c r="BH186" s="339"/>
      <c r="BI186" s="339"/>
      <c r="BJ186" s="339">
        <f t="shared" si="90"/>
        <v>0</v>
      </c>
      <c r="BL186" s="339"/>
      <c r="BM186" s="339"/>
      <c r="BN186" s="339"/>
      <c r="BO186" s="339"/>
      <c r="BP186" s="339"/>
      <c r="BQ186" s="339">
        <f t="shared" si="91"/>
        <v>0</v>
      </c>
      <c r="BS186" s="339"/>
      <c r="BT186" s="339"/>
      <c r="BU186" s="339"/>
      <c r="BV186" s="339"/>
      <c r="BW186" s="339"/>
      <c r="BX186" s="339">
        <f t="shared" si="92"/>
        <v>0</v>
      </c>
      <c r="BZ186" s="339"/>
      <c r="CA186" s="339"/>
      <c r="CB186" s="339"/>
      <c r="CC186" s="339"/>
      <c r="CD186" s="339"/>
      <c r="CE186" s="339">
        <f t="shared" si="93"/>
        <v>0</v>
      </c>
      <c r="CG186" s="339"/>
      <c r="CH186" s="339"/>
      <c r="CI186" s="339"/>
      <c r="CJ186" s="339"/>
      <c r="CK186" s="339"/>
      <c r="CL186" s="339">
        <f t="shared" si="94"/>
        <v>0</v>
      </c>
      <c r="CN186" s="339"/>
      <c r="CO186" s="339"/>
      <c r="CP186" s="339"/>
      <c r="CQ186" s="339"/>
      <c r="CR186" s="339"/>
      <c r="CS186" s="339">
        <f t="shared" si="95"/>
        <v>0</v>
      </c>
      <c r="CU186" s="339"/>
      <c r="CV186" s="339"/>
      <c r="CW186" s="339"/>
      <c r="CX186" s="339"/>
      <c r="CY186" s="339"/>
      <c r="CZ186" s="339">
        <f t="shared" si="96"/>
        <v>0</v>
      </c>
      <c r="DB186" s="339"/>
      <c r="DC186" s="339"/>
      <c r="DD186" s="339"/>
      <c r="DE186" s="339"/>
      <c r="DF186" s="339"/>
      <c r="DG186" s="339">
        <f t="shared" si="59"/>
        <v>0</v>
      </c>
      <c r="DI186" s="339"/>
      <c r="DJ186" s="339"/>
      <c r="DK186" s="339"/>
      <c r="DL186" s="339"/>
      <c r="DM186" s="339"/>
      <c r="DN186" s="339">
        <f t="shared" si="60"/>
        <v>0</v>
      </c>
    </row>
    <row r="187" spans="19:118">
      <c r="S187" s="412"/>
      <c r="T187" s="412"/>
      <c r="V187" s="339">
        <v>3.72</v>
      </c>
      <c r="W187" s="339">
        <v>2.9</v>
      </c>
      <c r="X187" s="339"/>
      <c r="Y187" s="339" t="s">
        <v>726</v>
      </c>
      <c r="Z187" s="339">
        <f>K9</f>
        <v>1.845</v>
      </c>
      <c r="AA187" s="339">
        <f t="shared" si="73"/>
        <v>8.9429999999999996</v>
      </c>
      <c r="AC187" s="339"/>
      <c r="AD187" s="339"/>
      <c r="AE187" s="339"/>
      <c r="AF187" s="339"/>
      <c r="AG187" s="339"/>
      <c r="AH187" s="339">
        <f t="shared" si="74"/>
        <v>0</v>
      </c>
      <c r="AJ187" s="339"/>
      <c r="AK187" s="339"/>
      <c r="AL187" s="339"/>
      <c r="AM187" s="339"/>
      <c r="AN187" s="339"/>
      <c r="AO187" s="339">
        <f t="shared" si="75"/>
        <v>0</v>
      </c>
      <c r="AQ187" s="339"/>
      <c r="AR187" s="339"/>
      <c r="AS187" s="339"/>
      <c r="AT187" s="339"/>
      <c r="AU187" s="339"/>
      <c r="AV187" s="339">
        <f t="shared" si="76"/>
        <v>0</v>
      </c>
      <c r="AX187" s="339"/>
      <c r="AY187" s="339"/>
      <c r="AZ187" s="339"/>
      <c r="BA187" s="339"/>
      <c r="BB187" s="339"/>
      <c r="BC187" s="339">
        <f t="shared" si="77"/>
        <v>0</v>
      </c>
      <c r="BE187" s="339"/>
      <c r="BF187" s="339"/>
      <c r="BG187" s="339"/>
      <c r="BH187" s="339"/>
      <c r="BI187" s="339"/>
      <c r="BJ187" s="339">
        <f t="shared" si="78"/>
        <v>0</v>
      </c>
      <c r="BL187" s="339"/>
      <c r="BM187" s="339"/>
      <c r="BN187" s="339"/>
      <c r="BO187" s="339"/>
      <c r="BP187" s="339"/>
      <c r="BQ187" s="339">
        <f t="shared" si="79"/>
        <v>0</v>
      </c>
      <c r="BS187" s="339"/>
      <c r="BT187" s="339"/>
      <c r="BU187" s="339"/>
      <c r="BV187" s="339"/>
      <c r="BW187" s="339"/>
      <c r="BX187" s="339">
        <f t="shared" si="80"/>
        <v>0</v>
      </c>
      <c r="BZ187" s="339"/>
      <c r="CA187" s="339"/>
      <c r="CB187" s="339"/>
      <c r="CC187" s="339"/>
      <c r="CD187" s="339"/>
      <c r="CE187" s="339">
        <f t="shared" si="81"/>
        <v>0</v>
      </c>
      <c r="CG187" s="339"/>
      <c r="CH187" s="339"/>
      <c r="CI187" s="339"/>
      <c r="CJ187" s="339"/>
      <c r="CK187" s="339"/>
      <c r="CL187" s="339">
        <f t="shared" si="82"/>
        <v>0</v>
      </c>
      <c r="CN187" s="339"/>
      <c r="CO187" s="339"/>
      <c r="CP187" s="339"/>
      <c r="CQ187" s="339"/>
      <c r="CR187" s="339"/>
      <c r="CS187" s="339">
        <f t="shared" si="83"/>
        <v>0</v>
      </c>
      <c r="CU187" s="339"/>
      <c r="CV187" s="339"/>
      <c r="CW187" s="339"/>
      <c r="CX187" s="339"/>
      <c r="CY187" s="339"/>
      <c r="CZ187" s="339">
        <f t="shared" si="84"/>
        <v>0</v>
      </c>
      <c r="DB187" s="339"/>
      <c r="DC187" s="339"/>
      <c r="DD187" s="339"/>
      <c r="DE187" s="339"/>
      <c r="DF187" s="339"/>
      <c r="DG187" s="339">
        <f t="shared" si="59"/>
        <v>0</v>
      </c>
      <c r="DI187" s="339"/>
      <c r="DJ187" s="339"/>
      <c r="DK187" s="339"/>
      <c r="DL187" s="339"/>
      <c r="DM187" s="339"/>
      <c r="DN187" s="339">
        <f t="shared" si="60"/>
        <v>0</v>
      </c>
    </row>
    <row r="188" spans="19:118">
      <c r="S188" s="412"/>
      <c r="T188" s="417"/>
      <c r="V188" s="339">
        <v>15.8</v>
      </c>
      <c r="W188" s="339">
        <v>2.9</v>
      </c>
      <c r="X188" s="339"/>
      <c r="Y188" s="339"/>
      <c r="Z188" s="339"/>
      <c r="AA188" s="339">
        <f t="shared" si="73"/>
        <v>45.82</v>
      </c>
      <c r="AC188" s="339"/>
      <c r="AD188" s="339"/>
      <c r="AE188" s="339"/>
      <c r="AF188" s="339"/>
      <c r="AG188" s="339"/>
      <c r="AH188" s="339">
        <f t="shared" si="74"/>
        <v>0</v>
      </c>
      <c r="AJ188" s="339"/>
      <c r="AK188" s="339"/>
      <c r="AL188" s="339"/>
      <c r="AM188" s="339"/>
      <c r="AN188" s="339"/>
      <c r="AO188" s="339">
        <f t="shared" si="75"/>
        <v>0</v>
      </c>
      <c r="AQ188" s="339"/>
      <c r="AR188" s="339"/>
      <c r="AS188" s="339"/>
      <c r="AT188" s="339"/>
      <c r="AU188" s="339"/>
      <c r="AV188" s="339">
        <f t="shared" si="76"/>
        <v>0</v>
      </c>
      <c r="AX188" s="339"/>
      <c r="AY188" s="339"/>
      <c r="AZ188" s="339"/>
      <c r="BA188" s="339"/>
      <c r="BB188" s="339"/>
      <c r="BC188" s="339">
        <f t="shared" si="77"/>
        <v>0</v>
      </c>
      <c r="BE188" s="339"/>
      <c r="BF188" s="339"/>
      <c r="BG188" s="339"/>
      <c r="BH188" s="339"/>
      <c r="BI188" s="339"/>
      <c r="BJ188" s="339">
        <f t="shared" si="78"/>
        <v>0</v>
      </c>
      <c r="BL188" s="339"/>
      <c r="BM188" s="339"/>
      <c r="BN188" s="339"/>
      <c r="BO188" s="339"/>
      <c r="BP188" s="339"/>
      <c r="BQ188" s="339">
        <f t="shared" si="79"/>
        <v>0</v>
      </c>
      <c r="BS188" s="339"/>
      <c r="BT188" s="339"/>
      <c r="BU188" s="339"/>
      <c r="BV188" s="339"/>
      <c r="BW188" s="339"/>
      <c r="BX188" s="339">
        <f t="shared" si="80"/>
        <v>0</v>
      </c>
      <c r="BZ188" s="339"/>
      <c r="CA188" s="339"/>
      <c r="CB188" s="339"/>
      <c r="CC188" s="339"/>
      <c r="CD188" s="339"/>
      <c r="CE188" s="339">
        <f t="shared" si="81"/>
        <v>0</v>
      </c>
      <c r="CG188" s="339"/>
      <c r="CH188" s="339"/>
      <c r="CI188" s="339"/>
      <c r="CJ188" s="339"/>
      <c r="CK188" s="339"/>
      <c r="CL188" s="339">
        <f t="shared" si="82"/>
        <v>0</v>
      </c>
      <c r="CN188" s="339"/>
      <c r="CO188" s="339"/>
      <c r="CP188" s="339"/>
      <c r="CQ188" s="339"/>
      <c r="CR188" s="339"/>
      <c r="CS188" s="339">
        <f t="shared" si="83"/>
        <v>0</v>
      </c>
      <c r="CU188" s="339"/>
      <c r="CV188" s="339"/>
      <c r="CW188" s="339"/>
      <c r="CX188" s="339"/>
      <c r="CY188" s="339"/>
      <c r="CZ188" s="339">
        <f t="shared" si="84"/>
        <v>0</v>
      </c>
      <c r="DB188" s="339"/>
      <c r="DC188" s="339"/>
      <c r="DD188" s="339"/>
      <c r="DE188" s="339"/>
      <c r="DF188" s="339"/>
      <c r="DG188" s="339">
        <f t="shared" si="59"/>
        <v>0</v>
      </c>
      <c r="DI188" s="339"/>
      <c r="DJ188" s="339"/>
      <c r="DK188" s="339"/>
      <c r="DL188" s="339"/>
      <c r="DM188" s="339"/>
      <c r="DN188" s="339">
        <f t="shared" si="60"/>
        <v>0</v>
      </c>
    </row>
    <row r="189" spans="19:118">
      <c r="S189" s="417"/>
      <c r="T189" s="417"/>
      <c r="V189" s="339"/>
      <c r="W189" s="339"/>
      <c r="X189" s="339"/>
      <c r="Y189" s="339"/>
      <c r="Z189" s="339"/>
      <c r="AA189" s="339">
        <f t="shared" si="73"/>
        <v>0</v>
      </c>
      <c r="AC189" s="339"/>
      <c r="AD189" s="339"/>
      <c r="AE189" s="339"/>
      <c r="AF189" s="339"/>
      <c r="AG189" s="339"/>
      <c r="AH189" s="339">
        <f t="shared" si="74"/>
        <v>0</v>
      </c>
      <c r="AJ189" s="339"/>
      <c r="AK189" s="339"/>
      <c r="AL189" s="339"/>
      <c r="AM189" s="339"/>
      <c r="AN189" s="339"/>
      <c r="AO189" s="339">
        <f t="shared" si="75"/>
        <v>0</v>
      </c>
      <c r="AQ189" s="339"/>
      <c r="AR189" s="339"/>
      <c r="AS189" s="339"/>
      <c r="AT189" s="339"/>
      <c r="AU189" s="339"/>
      <c r="AV189" s="339">
        <f t="shared" si="76"/>
        <v>0</v>
      </c>
      <c r="AX189" s="339"/>
      <c r="AY189" s="339"/>
      <c r="AZ189" s="339"/>
      <c r="BA189" s="339"/>
      <c r="BB189" s="339"/>
      <c r="BC189" s="339">
        <f t="shared" si="77"/>
        <v>0</v>
      </c>
      <c r="BE189" s="339"/>
      <c r="BF189" s="339"/>
      <c r="BG189" s="339"/>
      <c r="BH189" s="339"/>
      <c r="BI189" s="339"/>
      <c r="BJ189" s="339">
        <f t="shared" si="78"/>
        <v>0</v>
      </c>
      <c r="BL189" s="339"/>
      <c r="BM189" s="339"/>
      <c r="BN189" s="339"/>
      <c r="BO189" s="339"/>
      <c r="BP189" s="339"/>
      <c r="BQ189" s="339">
        <f t="shared" si="79"/>
        <v>0</v>
      </c>
      <c r="BS189" s="339"/>
      <c r="BT189" s="339"/>
      <c r="BU189" s="339"/>
      <c r="BV189" s="339"/>
      <c r="BW189" s="339"/>
      <c r="BX189" s="339">
        <f t="shared" si="80"/>
        <v>0</v>
      </c>
      <c r="BZ189" s="339"/>
      <c r="CA189" s="339"/>
      <c r="CB189" s="339"/>
      <c r="CC189" s="339"/>
      <c r="CD189" s="339"/>
      <c r="CE189" s="339">
        <f t="shared" si="81"/>
        <v>0</v>
      </c>
      <c r="CG189" s="339"/>
      <c r="CH189" s="339"/>
      <c r="CI189" s="339"/>
      <c r="CJ189" s="339"/>
      <c r="CK189" s="339"/>
      <c r="CL189" s="339">
        <f t="shared" si="82"/>
        <v>0</v>
      </c>
      <c r="CN189" s="339"/>
      <c r="CO189" s="339"/>
      <c r="CP189" s="339"/>
      <c r="CQ189" s="339"/>
      <c r="CR189" s="339"/>
      <c r="CS189" s="339">
        <f t="shared" si="83"/>
        <v>0</v>
      </c>
      <c r="CU189" s="339"/>
      <c r="CV189" s="339"/>
      <c r="CW189" s="339"/>
      <c r="CX189" s="339"/>
      <c r="CY189" s="339"/>
      <c r="CZ189" s="339">
        <f t="shared" si="84"/>
        <v>0</v>
      </c>
      <c r="DB189" s="339"/>
      <c r="DC189" s="339"/>
      <c r="DD189" s="339"/>
      <c r="DE189" s="339"/>
      <c r="DF189" s="339"/>
      <c r="DG189" s="339">
        <f t="shared" si="59"/>
        <v>0</v>
      </c>
      <c r="DI189" s="339"/>
      <c r="DJ189" s="339"/>
      <c r="DK189" s="339"/>
      <c r="DL189" s="339"/>
      <c r="DM189" s="339"/>
      <c r="DN189" s="339">
        <f t="shared" si="60"/>
        <v>0</v>
      </c>
    </row>
    <row r="190" spans="19:118">
      <c r="S190" s="417"/>
      <c r="T190" s="417"/>
      <c r="V190" s="339"/>
      <c r="W190" s="339"/>
      <c r="X190" s="339"/>
      <c r="Y190" s="339"/>
      <c r="Z190" s="339"/>
      <c r="AA190" s="339">
        <f t="shared" si="73"/>
        <v>0</v>
      </c>
      <c r="AC190" s="339"/>
      <c r="AD190" s="339"/>
      <c r="AE190" s="339"/>
      <c r="AF190" s="339"/>
      <c r="AG190" s="339"/>
      <c r="AH190" s="339">
        <f t="shared" si="74"/>
        <v>0</v>
      </c>
      <c r="AJ190" s="339"/>
      <c r="AK190" s="339"/>
      <c r="AL190" s="339"/>
      <c r="AM190" s="339"/>
      <c r="AN190" s="339"/>
      <c r="AO190" s="339">
        <f t="shared" si="75"/>
        <v>0</v>
      </c>
      <c r="AQ190" s="339"/>
      <c r="AR190" s="339"/>
      <c r="AS190" s="339"/>
      <c r="AT190" s="339"/>
      <c r="AU190" s="339"/>
      <c r="AV190" s="339">
        <f t="shared" si="76"/>
        <v>0</v>
      </c>
      <c r="AX190" s="339"/>
      <c r="AY190" s="339"/>
      <c r="AZ190" s="339"/>
      <c r="BA190" s="339"/>
      <c r="BB190" s="339"/>
      <c r="BC190" s="339">
        <f t="shared" si="77"/>
        <v>0</v>
      </c>
      <c r="BE190" s="339"/>
      <c r="BF190" s="339"/>
      <c r="BG190" s="339"/>
      <c r="BH190" s="339"/>
      <c r="BI190" s="339"/>
      <c r="BJ190" s="339">
        <f t="shared" si="78"/>
        <v>0</v>
      </c>
      <c r="BL190" s="339"/>
      <c r="BM190" s="339"/>
      <c r="BN190" s="339"/>
      <c r="BO190" s="339"/>
      <c r="BP190" s="339"/>
      <c r="BQ190" s="339">
        <f t="shared" si="79"/>
        <v>0</v>
      </c>
      <c r="BS190" s="339"/>
      <c r="BT190" s="339"/>
      <c r="BU190" s="339"/>
      <c r="BV190" s="339"/>
      <c r="BW190" s="339"/>
      <c r="BX190" s="339">
        <f t="shared" si="80"/>
        <v>0</v>
      </c>
      <c r="BZ190" s="339"/>
      <c r="CA190" s="339"/>
      <c r="CB190" s="339"/>
      <c r="CC190" s="339"/>
      <c r="CD190" s="339"/>
      <c r="CE190" s="339">
        <f t="shared" si="81"/>
        <v>0</v>
      </c>
      <c r="CG190" s="339"/>
      <c r="CH190" s="339"/>
      <c r="CI190" s="339"/>
      <c r="CJ190" s="339"/>
      <c r="CK190" s="339"/>
      <c r="CL190" s="339">
        <f t="shared" si="82"/>
        <v>0</v>
      </c>
      <c r="CN190" s="339"/>
      <c r="CO190" s="339"/>
      <c r="CP190" s="339"/>
      <c r="CQ190" s="339"/>
      <c r="CR190" s="339"/>
      <c r="CS190" s="339">
        <f t="shared" si="83"/>
        <v>0</v>
      </c>
      <c r="CU190" s="339"/>
      <c r="CV190" s="339"/>
      <c r="CW190" s="339"/>
      <c r="CX190" s="339"/>
      <c r="CY190" s="339"/>
      <c r="CZ190" s="339">
        <f t="shared" si="84"/>
        <v>0</v>
      </c>
      <c r="DB190" s="339"/>
      <c r="DC190" s="339"/>
      <c r="DD190" s="339"/>
      <c r="DE190" s="339"/>
      <c r="DF190" s="339"/>
      <c r="DG190" s="339">
        <f t="shared" si="59"/>
        <v>0</v>
      </c>
      <c r="DI190" s="339"/>
      <c r="DJ190" s="339"/>
      <c r="DK190" s="339"/>
      <c r="DL190" s="339"/>
      <c r="DM190" s="339"/>
      <c r="DN190" s="339">
        <f t="shared" si="60"/>
        <v>0</v>
      </c>
    </row>
    <row r="191" spans="19:118">
      <c r="S191" s="417"/>
      <c r="T191" s="417"/>
      <c r="V191" s="339"/>
      <c r="W191" s="339"/>
      <c r="X191" s="339"/>
      <c r="Y191" s="339"/>
      <c r="Z191" s="339"/>
      <c r="AA191" s="339">
        <f t="shared" si="73"/>
        <v>0</v>
      </c>
      <c r="AC191" s="339"/>
      <c r="AD191" s="339"/>
      <c r="AE191" s="339"/>
      <c r="AF191" s="339"/>
      <c r="AG191" s="339"/>
      <c r="AH191" s="339">
        <f t="shared" si="74"/>
        <v>0</v>
      </c>
      <c r="AJ191" s="339"/>
      <c r="AK191" s="339"/>
      <c r="AL191" s="339"/>
      <c r="AM191" s="339"/>
      <c r="AN191" s="339"/>
      <c r="AO191" s="339">
        <f t="shared" si="75"/>
        <v>0</v>
      </c>
      <c r="AQ191" s="339"/>
      <c r="AR191" s="339"/>
      <c r="AS191" s="339"/>
      <c r="AT191" s="339"/>
      <c r="AU191" s="339"/>
      <c r="AV191" s="339">
        <f t="shared" si="76"/>
        <v>0</v>
      </c>
      <c r="AX191" s="339"/>
      <c r="AY191" s="339"/>
      <c r="AZ191" s="339"/>
      <c r="BA191" s="339"/>
      <c r="BB191" s="339"/>
      <c r="BC191" s="339">
        <f t="shared" si="77"/>
        <v>0</v>
      </c>
      <c r="BE191" s="339"/>
      <c r="BF191" s="339"/>
      <c r="BG191" s="339"/>
      <c r="BH191" s="339"/>
      <c r="BI191" s="339"/>
      <c r="BJ191" s="339">
        <f t="shared" si="78"/>
        <v>0</v>
      </c>
      <c r="BL191" s="339"/>
      <c r="BM191" s="339"/>
      <c r="BN191" s="339"/>
      <c r="BO191" s="339"/>
      <c r="BP191" s="339"/>
      <c r="BQ191" s="339">
        <f t="shared" si="79"/>
        <v>0</v>
      </c>
      <c r="BS191" s="339"/>
      <c r="BT191" s="339"/>
      <c r="BU191" s="339"/>
      <c r="BV191" s="339"/>
      <c r="BW191" s="339"/>
      <c r="BX191" s="339">
        <f t="shared" si="80"/>
        <v>0</v>
      </c>
      <c r="BZ191" s="339"/>
      <c r="CA191" s="339"/>
      <c r="CB191" s="339"/>
      <c r="CC191" s="339"/>
      <c r="CD191" s="339"/>
      <c r="CE191" s="339">
        <f t="shared" si="81"/>
        <v>0</v>
      </c>
      <c r="CG191" s="339"/>
      <c r="CH191" s="339"/>
      <c r="CI191" s="339"/>
      <c r="CJ191" s="339"/>
      <c r="CK191" s="339"/>
      <c r="CL191" s="339">
        <f t="shared" si="82"/>
        <v>0</v>
      </c>
      <c r="CN191" s="339"/>
      <c r="CO191" s="339"/>
      <c r="CP191" s="339"/>
      <c r="CQ191" s="339"/>
      <c r="CR191" s="339"/>
      <c r="CS191" s="339">
        <f t="shared" si="83"/>
        <v>0</v>
      </c>
      <c r="CU191" s="339"/>
      <c r="CV191" s="339"/>
      <c r="CW191" s="339"/>
      <c r="CX191" s="339"/>
      <c r="CY191" s="339"/>
      <c r="CZ191" s="339">
        <f t="shared" si="84"/>
        <v>0</v>
      </c>
      <c r="DB191" s="339"/>
      <c r="DC191" s="339"/>
      <c r="DD191" s="339"/>
      <c r="DE191" s="339"/>
      <c r="DF191" s="339"/>
      <c r="DG191" s="339">
        <f t="shared" si="59"/>
        <v>0</v>
      </c>
      <c r="DI191" s="339"/>
      <c r="DJ191" s="339"/>
      <c r="DK191" s="339"/>
      <c r="DL191" s="339"/>
      <c r="DM191" s="339"/>
      <c r="DN191" s="339">
        <f t="shared" si="60"/>
        <v>0</v>
      </c>
    </row>
    <row r="192" spans="19:118">
      <c r="S192" s="412"/>
      <c r="T192" s="412"/>
      <c r="V192" s="339"/>
      <c r="W192" s="339"/>
      <c r="X192" s="339"/>
      <c r="Y192" s="339"/>
      <c r="Z192" s="339"/>
      <c r="AA192" s="339">
        <f t="shared" si="73"/>
        <v>0</v>
      </c>
      <c r="AC192" s="339"/>
      <c r="AD192" s="339"/>
      <c r="AE192" s="339"/>
      <c r="AF192" s="339"/>
      <c r="AG192" s="339"/>
      <c r="AH192" s="339">
        <f t="shared" si="74"/>
        <v>0</v>
      </c>
      <c r="AJ192" s="339"/>
      <c r="AK192" s="339"/>
      <c r="AL192" s="339"/>
      <c r="AM192" s="339"/>
      <c r="AN192" s="339"/>
      <c r="AO192" s="339">
        <f t="shared" si="75"/>
        <v>0</v>
      </c>
      <c r="AQ192" s="339"/>
      <c r="AR192" s="339"/>
      <c r="AS192" s="339"/>
      <c r="AT192" s="339"/>
      <c r="AU192" s="339"/>
      <c r="AV192" s="339">
        <f t="shared" si="76"/>
        <v>0</v>
      </c>
      <c r="AX192" s="339"/>
      <c r="AY192" s="339"/>
      <c r="AZ192" s="339"/>
      <c r="BA192" s="339"/>
      <c r="BB192" s="339"/>
      <c r="BC192" s="339">
        <f t="shared" si="77"/>
        <v>0</v>
      </c>
      <c r="BE192" s="339"/>
      <c r="BF192" s="339"/>
      <c r="BG192" s="339"/>
      <c r="BH192" s="339"/>
      <c r="BI192" s="339"/>
      <c r="BJ192" s="339">
        <f t="shared" si="78"/>
        <v>0</v>
      </c>
      <c r="BL192" s="339"/>
      <c r="BM192" s="339"/>
      <c r="BN192" s="339"/>
      <c r="BO192" s="339"/>
      <c r="BP192" s="339"/>
      <c r="BQ192" s="339">
        <f t="shared" si="79"/>
        <v>0</v>
      </c>
      <c r="BS192" s="339"/>
      <c r="BT192" s="339"/>
      <c r="BU192" s="339"/>
      <c r="BV192" s="339"/>
      <c r="BW192" s="339"/>
      <c r="BX192" s="339">
        <f t="shared" si="80"/>
        <v>0</v>
      </c>
      <c r="BZ192" s="339"/>
      <c r="CA192" s="339"/>
      <c r="CB192" s="339"/>
      <c r="CC192" s="339"/>
      <c r="CD192" s="339"/>
      <c r="CE192" s="339">
        <f t="shared" si="81"/>
        <v>0</v>
      </c>
      <c r="CG192" s="339"/>
      <c r="CH192" s="339"/>
      <c r="CI192" s="339"/>
      <c r="CJ192" s="339"/>
      <c r="CK192" s="339"/>
      <c r="CL192" s="339">
        <f t="shared" si="82"/>
        <v>0</v>
      </c>
      <c r="CN192" s="339"/>
      <c r="CO192" s="339"/>
      <c r="CP192" s="339"/>
      <c r="CQ192" s="339"/>
      <c r="CR192" s="339"/>
      <c r="CS192" s="339">
        <f t="shared" si="83"/>
        <v>0</v>
      </c>
      <c r="CU192" s="339"/>
      <c r="CV192" s="339"/>
      <c r="CW192" s="339"/>
      <c r="CX192" s="339"/>
      <c r="CY192" s="339"/>
      <c r="CZ192" s="339">
        <f t="shared" si="84"/>
        <v>0</v>
      </c>
      <c r="DB192" s="339"/>
      <c r="DC192" s="339"/>
      <c r="DD192" s="339"/>
      <c r="DE192" s="339"/>
      <c r="DF192" s="339"/>
      <c r="DG192" s="339">
        <f t="shared" si="59"/>
        <v>0</v>
      </c>
      <c r="DI192" s="339"/>
      <c r="DJ192" s="339"/>
      <c r="DK192" s="339"/>
      <c r="DL192" s="339"/>
      <c r="DM192" s="339"/>
      <c r="DN192" s="339">
        <f t="shared" si="60"/>
        <v>0</v>
      </c>
    </row>
    <row r="193" spans="19:118">
      <c r="S193" s="412"/>
      <c r="T193" s="412"/>
      <c r="V193" s="339"/>
      <c r="W193" s="339"/>
      <c r="X193" s="339"/>
      <c r="Y193" s="339"/>
      <c r="Z193" s="339"/>
      <c r="AA193" s="339">
        <f t="shared" si="73"/>
        <v>0</v>
      </c>
      <c r="AC193" s="339"/>
      <c r="AD193" s="339"/>
      <c r="AE193" s="339"/>
      <c r="AF193" s="339"/>
      <c r="AG193" s="339"/>
      <c r="AH193" s="339">
        <f t="shared" si="74"/>
        <v>0</v>
      </c>
      <c r="AJ193" s="339"/>
      <c r="AK193" s="339"/>
      <c r="AL193" s="339"/>
      <c r="AM193" s="339"/>
      <c r="AN193" s="339"/>
      <c r="AO193" s="339">
        <f t="shared" si="75"/>
        <v>0</v>
      </c>
      <c r="AQ193" s="339"/>
      <c r="AR193" s="339"/>
      <c r="AS193" s="339"/>
      <c r="AT193" s="339"/>
      <c r="AU193" s="339"/>
      <c r="AV193" s="339">
        <f t="shared" si="76"/>
        <v>0</v>
      </c>
      <c r="AX193" s="339"/>
      <c r="AY193" s="339"/>
      <c r="AZ193" s="339"/>
      <c r="BA193" s="339"/>
      <c r="BB193" s="339"/>
      <c r="BC193" s="339">
        <f t="shared" si="77"/>
        <v>0</v>
      </c>
      <c r="BE193" s="339"/>
      <c r="BF193" s="339"/>
      <c r="BG193" s="339"/>
      <c r="BH193" s="339"/>
      <c r="BI193" s="339"/>
      <c r="BJ193" s="339">
        <f t="shared" si="78"/>
        <v>0</v>
      </c>
      <c r="BL193" s="339"/>
      <c r="BM193" s="339"/>
      <c r="BN193" s="339"/>
      <c r="BO193" s="339"/>
      <c r="BP193" s="339"/>
      <c r="BQ193" s="339">
        <f t="shared" si="79"/>
        <v>0</v>
      </c>
      <c r="BS193" s="339"/>
      <c r="BT193" s="339"/>
      <c r="BU193" s="339"/>
      <c r="BV193" s="339"/>
      <c r="BW193" s="339"/>
      <c r="BX193" s="339">
        <f t="shared" si="80"/>
        <v>0</v>
      </c>
      <c r="BZ193" s="339"/>
      <c r="CA193" s="339"/>
      <c r="CB193" s="339"/>
      <c r="CC193" s="339"/>
      <c r="CD193" s="339"/>
      <c r="CE193" s="339">
        <f t="shared" si="81"/>
        <v>0</v>
      </c>
      <c r="CG193" s="339"/>
      <c r="CH193" s="339"/>
      <c r="CI193" s="339"/>
      <c r="CJ193" s="339"/>
      <c r="CK193" s="339"/>
      <c r="CL193" s="339">
        <f t="shared" si="82"/>
        <v>0</v>
      </c>
      <c r="CN193" s="339"/>
      <c r="CO193" s="339"/>
      <c r="CP193" s="339"/>
      <c r="CQ193" s="339"/>
      <c r="CR193" s="339"/>
      <c r="CS193" s="339">
        <f t="shared" si="83"/>
        <v>0</v>
      </c>
      <c r="CU193" s="339"/>
      <c r="CV193" s="339"/>
      <c r="CW193" s="339"/>
      <c r="CX193" s="339"/>
      <c r="CY193" s="339"/>
      <c r="CZ193" s="339">
        <f t="shared" si="84"/>
        <v>0</v>
      </c>
      <c r="DB193" s="339"/>
      <c r="DC193" s="339"/>
      <c r="DD193" s="339"/>
      <c r="DE193" s="339"/>
      <c r="DF193" s="339"/>
      <c r="DG193" s="339">
        <f t="shared" si="59"/>
        <v>0</v>
      </c>
      <c r="DI193" s="339"/>
      <c r="DJ193" s="339"/>
      <c r="DK193" s="339"/>
      <c r="DL193" s="339"/>
      <c r="DM193" s="339"/>
      <c r="DN193" s="339">
        <f t="shared" si="60"/>
        <v>0</v>
      </c>
    </row>
    <row r="194" spans="19:118">
      <c r="S194" s="412"/>
      <c r="T194" s="412"/>
      <c r="V194" s="339"/>
      <c r="W194" s="339"/>
      <c r="X194" s="339"/>
      <c r="Y194" s="339"/>
      <c r="Z194" s="339"/>
      <c r="AA194" s="339">
        <f t="shared" si="73"/>
        <v>0</v>
      </c>
      <c r="AC194" s="339"/>
      <c r="AD194" s="339"/>
      <c r="AE194" s="339"/>
      <c r="AF194" s="339"/>
      <c r="AG194" s="339"/>
      <c r="AH194" s="339">
        <f t="shared" si="74"/>
        <v>0</v>
      </c>
      <c r="AJ194" s="339"/>
      <c r="AK194" s="339"/>
      <c r="AL194" s="339"/>
      <c r="AM194" s="339"/>
      <c r="AN194" s="339"/>
      <c r="AO194" s="339">
        <f t="shared" si="75"/>
        <v>0</v>
      </c>
      <c r="AQ194" s="339"/>
      <c r="AR194" s="339"/>
      <c r="AS194" s="339"/>
      <c r="AT194" s="339"/>
      <c r="AU194" s="339"/>
      <c r="AV194" s="339">
        <f t="shared" si="76"/>
        <v>0</v>
      </c>
      <c r="AX194" s="339"/>
      <c r="AY194" s="339"/>
      <c r="AZ194" s="339"/>
      <c r="BA194" s="339"/>
      <c r="BB194" s="339"/>
      <c r="BC194" s="339">
        <f t="shared" si="77"/>
        <v>0</v>
      </c>
      <c r="BE194" s="339"/>
      <c r="BF194" s="339"/>
      <c r="BG194" s="339"/>
      <c r="BH194" s="339"/>
      <c r="BI194" s="339"/>
      <c r="BJ194" s="339">
        <f t="shared" si="78"/>
        <v>0</v>
      </c>
      <c r="BL194" s="339"/>
      <c r="BM194" s="339"/>
      <c r="BN194" s="339"/>
      <c r="BO194" s="339"/>
      <c r="BP194" s="339"/>
      <c r="BQ194" s="339">
        <f t="shared" si="79"/>
        <v>0</v>
      </c>
      <c r="BS194" s="339"/>
      <c r="BT194" s="339"/>
      <c r="BU194" s="339"/>
      <c r="BV194" s="339"/>
      <c r="BW194" s="339"/>
      <c r="BX194" s="339">
        <f t="shared" si="80"/>
        <v>0</v>
      </c>
      <c r="BZ194" s="339"/>
      <c r="CA194" s="339"/>
      <c r="CB194" s="339"/>
      <c r="CC194" s="339"/>
      <c r="CD194" s="339"/>
      <c r="CE194" s="339">
        <f t="shared" si="81"/>
        <v>0</v>
      </c>
      <c r="CG194" s="339"/>
      <c r="CH194" s="339"/>
      <c r="CI194" s="339"/>
      <c r="CJ194" s="339"/>
      <c r="CK194" s="339"/>
      <c r="CL194" s="339">
        <f t="shared" si="82"/>
        <v>0</v>
      </c>
      <c r="CN194" s="339"/>
      <c r="CO194" s="339"/>
      <c r="CP194" s="339"/>
      <c r="CQ194" s="339"/>
      <c r="CR194" s="339"/>
      <c r="CS194" s="339">
        <f t="shared" si="83"/>
        <v>0</v>
      </c>
      <c r="CU194" s="339"/>
      <c r="CV194" s="339"/>
      <c r="CW194" s="339"/>
      <c r="CX194" s="339"/>
      <c r="CY194" s="339"/>
      <c r="CZ194" s="339">
        <f t="shared" si="84"/>
        <v>0</v>
      </c>
      <c r="DB194" s="339"/>
      <c r="DC194" s="339"/>
      <c r="DD194" s="339"/>
      <c r="DE194" s="339"/>
      <c r="DF194" s="339"/>
      <c r="DG194" s="339">
        <f t="shared" si="59"/>
        <v>0</v>
      </c>
      <c r="DI194" s="339"/>
      <c r="DJ194" s="339"/>
      <c r="DK194" s="339"/>
      <c r="DL194" s="339"/>
      <c r="DM194" s="339"/>
      <c r="DN194" s="339">
        <f t="shared" si="60"/>
        <v>0</v>
      </c>
    </row>
    <row r="195" spans="19:118">
      <c r="S195" s="412"/>
      <c r="T195" s="412"/>
      <c r="V195" s="339"/>
      <c r="W195" s="339"/>
      <c r="X195" s="339"/>
      <c r="Y195" s="339"/>
      <c r="Z195" s="339"/>
      <c r="AA195" s="339">
        <f t="shared" ref="AA195:AA202" si="97">V195*W195+X195-Z195</f>
        <v>0</v>
      </c>
      <c r="AC195" s="339"/>
      <c r="AD195" s="339"/>
      <c r="AE195" s="339"/>
      <c r="AF195" s="339"/>
      <c r="AG195" s="339"/>
      <c r="AH195" s="339">
        <f t="shared" ref="AH195:AH202" si="98">AC195*AD195+AE195-AG195</f>
        <v>0</v>
      </c>
      <c r="AJ195" s="339"/>
      <c r="AK195" s="339"/>
      <c r="AL195" s="339"/>
      <c r="AM195" s="339"/>
      <c r="AN195" s="339"/>
      <c r="AO195" s="339">
        <f t="shared" ref="AO195:AO202" si="99">AJ195*AK195+AL195-AN195</f>
        <v>0</v>
      </c>
      <c r="AQ195" s="339"/>
      <c r="AR195" s="339"/>
      <c r="AS195" s="339"/>
      <c r="AT195" s="339"/>
      <c r="AU195" s="339"/>
      <c r="AV195" s="339">
        <f t="shared" ref="AV195:AV202" si="100">AQ195*AR195+AS195-AU195</f>
        <v>0</v>
      </c>
      <c r="AX195" s="339"/>
      <c r="AY195" s="339"/>
      <c r="AZ195" s="339"/>
      <c r="BA195" s="339"/>
      <c r="BB195" s="339"/>
      <c r="BC195" s="339">
        <f t="shared" ref="BC195:BC202" si="101">AX195*AY195+AZ195-BB195</f>
        <v>0</v>
      </c>
      <c r="BE195" s="339"/>
      <c r="BF195" s="339"/>
      <c r="BG195" s="339"/>
      <c r="BH195" s="339"/>
      <c r="BI195" s="339"/>
      <c r="BJ195" s="339">
        <f t="shared" ref="BJ195:BJ202" si="102">BE195*BF195+BG195-BI195</f>
        <v>0</v>
      </c>
      <c r="BL195" s="339"/>
      <c r="BM195" s="339"/>
      <c r="BN195" s="339"/>
      <c r="BO195" s="339"/>
      <c r="BP195" s="339"/>
      <c r="BQ195" s="339">
        <f t="shared" ref="BQ195:BQ202" si="103">BL195*BM195+BN195-BP195</f>
        <v>0</v>
      </c>
      <c r="BS195" s="339"/>
      <c r="BT195" s="339"/>
      <c r="BU195" s="339"/>
      <c r="BV195" s="339"/>
      <c r="BW195" s="339"/>
      <c r="BX195" s="339">
        <f t="shared" ref="BX195:BX202" si="104">BS195*BT195+BU195-BW195</f>
        <v>0</v>
      </c>
      <c r="BZ195" s="339"/>
      <c r="CA195" s="339"/>
      <c r="CB195" s="339"/>
      <c r="CC195" s="339"/>
      <c r="CD195" s="339"/>
      <c r="CE195" s="339">
        <f t="shared" ref="CE195:CE202" si="105">BZ195*CA195+CB195-CD195</f>
        <v>0</v>
      </c>
      <c r="CG195" s="339"/>
      <c r="CH195" s="339"/>
      <c r="CI195" s="339"/>
      <c r="CJ195" s="339"/>
      <c r="CK195" s="339"/>
      <c r="CL195" s="339">
        <f t="shared" ref="CL195:CL202" si="106">CG195*CH195+CI195-CK195</f>
        <v>0</v>
      </c>
      <c r="CN195" s="339"/>
      <c r="CO195" s="339"/>
      <c r="CP195" s="339"/>
      <c r="CQ195" s="339"/>
      <c r="CR195" s="339"/>
      <c r="CS195" s="339">
        <f t="shared" ref="CS195:CS202" si="107">CN195*CO195+CP195-CR195</f>
        <v>0</v>
      </c>
      <c r="CU195" s="339"/>
      <c r="CV195" s="339"/>
      <c r="CW195" s="339"/>
      <c r="CX195" s="339"/>
      <c r="CY195" s="339"/>
      <c r="CZ195" s="339">
        <f t="shared" ref="CZ195:CZ202" si="108">CU195*CV195+CW195-CY195</f>
        <v>0</v>
      </c>
      <c r="DB195" s="339"/>
      <c r="DC195" s="339"/>
      <c r="DD195" s="339"/>
      <c r="DE195" s="339"/>
      <c r="DF195" s="339"/>
      <c r="DG195" s="339">
        <f t="shared" si="59"/>
        <v>0</v>
      </c>
      <c r="DI195" s="339"/>
      <c r="DJ195" s="339"/>
      <c r="DK195" s="339"/>
      <c r="DL195" s="339"/>
      <c r="DM195" s="339"/>
      <c r="DN195" s="339">
        <f t="shared" si="60"/>
        <v>0</v>
      </c>
    </row>
    <row r="196" spans="19:118">
      <c r="S196" s="412"/>
      <c r="T196" s="417"/>
      <c r="V196" s="339"/>
      <c r="W196" s="339"/>
      <c r="X196" s="339"/>
      <c r="Y196" s="339"/>
      <c r="Z196" s="339"/>
      <c r="AA196" s="339">
        <f t="shared" si="97"/>
        <v>0</v>
      </c>
      <c r="AC196" s="339"/>
      <c r="AD196" s="339"/>
      <c r="AE196" s="339"/>
      <c r="AF196" s="339"/>
      <c r="AG196" s="339"/>
      <c r="AH196" s="339">
        <f t="shared" si="98"/>
        <v>0</v>
      </c>
      <c r="AJ196" s="339"/>
      <c r="AK196" s="339"/>
      <c r="AL196" s="339"/>
      <c r="AM196" s="339"/>
      <c r="AN196" s="339"/>
      <c r="AO196" s="339">
        <f t="shared" si="99"/>
        <v>0</v>
      </c>
      <c r="AQ196" s="339"/>
      <c r="AR196" s="339"/>
      <c r="AS196" s="339"/>
      <c r="AT196" s="339"/>
      <c r="AU196" s="339"/>
      <c r="AV196" s="339">
        <f t="shared" si="100"/>
        <v>0</v>
      </c>
      <c r="AX196" s="339"/>
      <c r="AY196" s="339"/>
      <c r="AZ196" s="339"/>
      <c r="BA196" s="339"/>
      <c r="BB196" s="339"/>
      <c r="BC196" s="339">
        <f t="shared" si="101"/>
        <v>0</v>
      </c>
      <c r="BE196" s="339"/>
      <c r="BF196" s="339"/>
      <c r="BG196" s="339"/>
      <c r="BH196" s="339"/>
      <c r="BI196" s="339"/>
      <c r="BJ196" s="339">
        <f t="shared" si="102"/>
        <v>0</v>
      </c>
      <c r="BL196" s="339"/>
      <c r="BM196" s="339"/>
      <c r="BN196" s="339"/>
      <c r="BO196" s="339"/>
      <c r="BP196" s="339"/>
      <c r="BQ196" s="339">
        <f t="shared" si="103"/>
        <v>0</v>
      </c>
      <c r="BS196" s="339"/>
      <c r="BT196" s="339"/>
      <c r="BU196" s="339"/>
      <c r="BV196" s="339"/>
      <c r="BW196" s="339"/>
      <c r="BX196" s="339">
        <f t="shared" si="104"/>
        <v>0</v>
      </c>
      <c r="BZ196" s="339"/>
      <c r="CA196" s="339"/>
      <c r="CB196" s="339"/>
      <c r="CC196" s="339"/>
      <c r="CD196" s="339"/>
      <c r="CE196" s="339">
        <f t="shared" si="105"/>
        <v>0</v>
      </c>
      <c r="CG196" s="339"/>
      <c r="CH196" s="339"/>
      <c r="CI196" s="339"/>
      <c r="CJ196" s="339"/>
      <c r="CK196" s="339"/>
      <c r="CL196" s="339">
        <f t="shared" si="106"/>
        <v>0</v>
      </c>
      <c r="CN196" s="339"/>
      <c r="CO196" s="339"/>
      <c r="CP196" s="339"/>
      <c r="CQ196" s="339"/>
      <c r="CR196" s="339"/>
      <c r="CS196" s="339">
        <f t="shared" si="107"/>
        <v>0</v>
      </c>
      <c r="CU196" s="339"/>
      <c r="CV196" s="339"/>
      <c r="CW196" s="339"/>
      <c r="CX196" s="339"/>
      <c r="CY196" s="339"/>
      <c r="CZ196" s="339">
        <f t="shared" si="108"/>
        <v>0</v>
      </c>
      <c r="DB196" s="339"/>
      <c r="DC196" s="339"/>
      <c r="DD196" s="339"/>
      <c r="DE196" s="339"/>
      <c r="DF196" s="339"/>
      <c r="DG196" s="339">
        <f t="shared" si="59"/>
        <v>0</v>
      </c>
      <c r="DI196" s="339"/>
      <c r="DJ196" s="339"/>
      <c r="DK196" s="339"/>
      <c r="DL196" s="339"/>
      <c r="DM196" s="339"/>
      <c r="DN196" s="339">
        <f t="shared" si="60"/>
        <v>0</v>
      </c>
    </row>
    <row r="197" spans="19:118">
      <c r="S197" s="417"/>
      <c r="T197" s="417"/>
      <c r="V197" s="339"/>
      <c r="W197" s="339"/>
      <c r="X197" s="339"/>
      <c r="Y197" s="339"/>
      <c r="Z197" s="339"/>
      <c r="AA197" s="339">
        <f t="shared" si="97"/>
        <v>0</v>
      </c>
      <c r="AC197" s="339"/>
      <c r="AD197" s="339"/>
      <c r="AE197" s="339"/>
      <c r="AF197" s="339"/>
      <c r="AG197" s="339"/>
      <c r="AH197" s="339">
        <f t="shared" si="98"/>
        <v>0</v>
      </c>
      <c r="AJ197" s="339"/>
      <c r="AK197" s="339"/>
      <c r="AL197" s="339"/>
      <c r="AM197" s="339"/>
      <c r="AN197" s="339"/>
      <c r="AO197" s="339">
        <f t="shared" si="99"/>
        <v>0</v>
      </c>
      <c r="AQ197" s="339"/>
      <c r="AR197" s="339"/>
      <c r="AS197" s="339"/>
      <c r="AT197" s="339"/>
      <c r="AU197" s="339"/>
      <c r="AV197" s="339">
        <f t="shared" si="100"/>
        <v>0</v>
      </c>
      <c r="AX197" s="339"/>
      <c r="AY197" s="339"/>
      <c r="AZ197" s="339"/>
      <c r="BA197" s="339"/>
      <c r="BB197" s="339"/>
      <c r="BC197" s="339">
        <f t="shared" si="101"/>
        <v>0</v>
      </c>
      <c r="BE197" s="339"/>
      <c r="BF197" s="339"/>
      <c r="BG197" s="339"/>
      <c r="BH197" s="339"/>
      <c r="BI197" s="339"/>
      <c r="BJ197" s="339">
        <f t="shared" si="102"/>
        <v>0</v>
      </c>
      <c r="BL197" s="339"/>
      <c r="BM197" s="339"/>
      <c r="BN197" s="339"/>
      <c r="BO197" s="339"/>
      <c r="BP197" s="339"/>
      <c r="BQ197" s="339">
        <f t="shared" si="103"/>
        <v>0</v>
      </c>
      <c r="BS197" s="339"/>
      <c r="BT197" s="339"/>
      <c r="BU197" s="339"/>
      <c r="BV197" s="339"/>
      <c r="BW197" s="339"/>
      <c r="BX197" s="339">
        <f t="shared" si="104"/>
        <v>0</v>
      </c>
      <c r="BZ197" s="339"/>
      <c r="CA197" s="339"/>
      <c r="CB197" s="339"/>
      <c r="CC197" s="339"/>
      <c r="CD197" s="339"/>
      <c r="CE197" s="339">
        <f t="shared" si="105"/>
        <v>0</v>
      </c>
      <c r="CG197" s="339"/>
      <c r="CH197" s="339"/>
      <c r="CI197" s="339"/>
      <c r="CJ197" s="339"/>
      <c r="CK197" s="339"/>
      <c r="CL197" s="339">
        <f t="shared" si="106"/>
        <v>0</v>
      </c>
      <c r="CN197" s="339"/>
      <c r="CO197" s="339"/>
      <c r="CP197" s="339"/>
      <c r="CQ197" s="339"/>
      <c r="CR197" s="339"/>
      <c r="CS197" s="339">
        <f t="shared" si="107"/>
        <v>0</v>
      </c>
      <c r="CU197" s="339"/>
      <c r="CV197" s="339"/>
      <c r="CW197" s="339"/>
      <c r="CX197" s="339"/>
      <c r="CY197" s="339"/>
      <c r="CZ197" s="339">
        <f t="shared" si="108"/>
        <v>0</v>
      </c>
      <c r="DB197" s="339"/>
      <c r="DC197" s="339"/>
      <c r="DD197" s="339"/>
      <c r="DE197" s="339"/>
      <c r="DF197" s="339"/>
      <c r="DG197" s="339">
        <f t="shared" si="59"/>
        <v>0</v>
      </c>
      <c r="DI197" s="339"/>
      <c r="DJ197" s="339"/>
      <c r="DK197" s="339"/>
      <c r="DL197" s="339"/>
      <c r="DM197" s="339"/>
      <c r="DN197" s="339">
        <f t="shared" si="60"/>
        <v>0</v>
      </c>
    </row>
    <row r="198" spans="19:118">
      <c r="S198" s="417"/>
      <c r="T198" s="417"/>
      <c r="V198" s="339"/>
      <c r="W198" s="339"/>
      <c r="X198" s="339"/>
      <c r="Y198" s="339"/>
      <c r="Z198" s="339"/>
      <c r="AA198" s="339">
        <f t="shared" si="97"/>
        <v>0</v>
      </c>
      <c r="AC198" s="339"/>
      <c r="AD198" s="339"/>
      <c r="AE198" s="339"/>
      <c r="AF198" s="339"/>
      <c r="AG198" s="339"/>
      <c r="AH198" s="339">
        <f t="shared" si="98"/>
        <v>0</v>
      </c>
      <c r="AJ198" s="339"/>
      <c r="AK198" s="339"/>
      <c r="AL198" s="339"/>
      <c r="AM198" s="339"/>
      <c r="AN198" s="339"/>
      <c r="AO198" s="339">
        <f t="shared" si="99"/>
        <v>0</v>
      </c>
      <c r="AQ198" s="339"/>
      <c r="AR198" s="339"/>
      <c r="AS198" s="339"/>
      <c r="AT198" s="339"/>
      <c r="AU198" s="339"/>
      <c r="AV198" s="339">
        <f t="shared" si="100"/>
        <v>0</v>
      </c>
      <c r="AX198" s="339"/>
      <c r="AY198" s="339"/>
      <c r="AZ198" s="339"/>
      <c r="BA198" s="339"/>
      <c r="BB198" s="339"/>
      <c r="BC198" s="339">
        <f t="shared" si="101"/>
        <v>0</v>
      </c>
      <c r="BE198" s="339"/>
      <c r="BF198" s="339"/>
      <c r="BG198" s="339"/>
      <c r="BH198" s="339"/>
      <c r="BI198" s="339"/>
      <c r="BJ198" s="339">
        <f t="shared" si="102"/>
        <v>0</v>
      </c>
      <c r="BL198" s="339"/>
      <c r="BM198" s="339"/>
      <c r="BN198" s="339"/>
      <c r="BO198" s="339"/>
      <c r="BP198" s="339"/>
      <c r="BQ198" s="339">
        <f t="shared" si="103"/>
        <v>0</v>
      </c>
      <c r="BS198" s="339"/>
      <c r="BT198" s="339"/>
      <c r="BU198" s="339"/>
      <c r="BV198" s="339"/>
      <c r="BW198" s="339"/>
      <c r="BX198" s="339">
        <f t="shared" si="104"/>
        <v>0</v>
      </c>
      <c r="BZ198" s="339"/>
      <c r="CA198" s="339"/>
      <c r="CB198" s="339"/>
      <c r="CC198" s="339"/>
      <c r="CD198" s="339"/>
      <c r="CE198" s="339">
        <f t="shared" si="105"/>
        <v>0</v>
      </c>
      <c r="CG198" s="339"/>
      <c r="CH198" s="339"/>
      <c r="CI198" s="339"/>
      <c r="CJ198" s="339"/>
      <c r="CK198" s="339"/>
      <c r="CL198" s="339">
        <f t="shared" si="106"/>
        <v>0</v>
      </c>
      <c r="CN198" s="339"/>
      <c r="CO198" s="339"/>
      <c r="CP198" s="339"/>
      <c r="CQ198" s="339"/>
      <c r="CR198" s="339"/>
      <c r="CS198" s="339">
        <f t="shared" si="107"/>
        <v>0</v>
      </c>
      <c r="CU198" s="339"/>
      <c r="CV198" s="339"/>
      <c r="CW198" s="339"/>
      <c r="CX198" s="339"/>
      <c r="CY198" s="339"/>
      <c r="CZ198" s="339">
        <f t="shared" si="108"/>
        <v>0</v>
      </c>
      <c r="DB198" s="339"/>
      <c r="DC198" s="339"/>
      <c r="DD198" s="339"/>
      <c r="DE198" s="339"/>
      <c r="DF198" s="339"/>
      <c r="DG198" s="339">
        <f t="shared" si="59"/>
        <v>0</v>
      </c>
      <c r="DI198" s="339"/>
      <c r="DJ198" s="339"/>
      <c r="DK198" s="339"/>
      <c r="DL198" s="339"/>
      <c r="DM198" s="339"/>
      <c r="DN198" s="339">
        <f t="shared" si="60"/>
        <v>0</v>
      </c>
    </row>
    <row r="199" spans="19:118">
      <c r="S199" s="417"/>
      <c r="T199" s="417"/>
      <c r="V199" s="339"/>
      <c r="W199" s="339"/>
      <c r="X199" s="339"/>
      <c r="Y199" s="339"/>
      <c r="Z199" s="339"/>
      <c r="AA199" s="339">
        <f t="shared" si="97"/>
        <v>0</v>
      </c>
      <c r="AC199" s="339"/>
      <c r="AD199" s="339"/>
      <c r="AE199" s="339"/>
      <c r="AF199" s="339"/>
      <c r="AG199" s="339"/>
      <c r="AH199" s="339">
        <f t="shared" si="98"/>
        <v>0</v>
      </c>
      <c r="AJ199" s="339"/>
      <c r="AK199" s="339"/>
      <c r="AL199" s="339"/>
      <c r="AM199" s="339"/>
      <c r="AN199" s="339"/>
      <c r="AO199" s="339">
        <f t="shared" si="99"/>
        <v>0</v>
      </c>
      <c r="AQ199" s="339"/>
      <c r="AR199" s="339"/>
      <c r="AS199" s="339"/>
      <c r="AT199" s="339"/>
      <c r="AU199" s="339"/>
      <c r="AV199" s="339">
        <f t="shared" si="100"/>
        <v>0</v>
      </c>
      <c r="AX199" s="339"/>
      <c r="AY199" s="339"/>
      <c r="AZ199" s="339"/>
      <c r="BA199" s="339"/>
      <c r="BB199" s="339"/>
      <c r="BC199" s="339">
        <f t="shared" si="101"/>
        <v>0</v>
      </c>
      <c r="BE199" s="339"/>
      <c r="BF199" s="339"/>
      <c r="BG199" s="339"/>
      <c r="BH199" s="339"/>
      <c r="BI199" s="339"/>
      <c r="BJ199" s="339">
        <f t="shared" si="102"/>
        <v>0</v>
      </c>
      <c r="BL199" s="339"/>
      <c r="BM199" s="339"/>
      <c r="BN199" s="339"/>
      <c r="BO199" s="339"/>
      <c r="BP199" s="339"/>
      <c r="BQ199" s="339">
        <f t="shared" si="103"/>
        <v>0</v>
      </c>
      <c r="BS199" s="339"/>
      <c r="BT199" s="339"/>
      <c r="BU199" s="339"/>
      <c r="BV199" s="339"/>
      <c r="BW199" s="339"/>
      <c r="BX199" s="339">
        <f t="shared" si="104"/>
        <v>0</v>
      </c>
      <c r="BZ199" s="339"/>
      <c r="CA199" s="339"/>
      <c r="CB199" s="339"/>
      <c r="CC199" s="339"/>
      <c r="CD199" s="339"/>
      <c r="CE199" s="339">
        <f t="shared" si="105"/>
        <v>0</v>
      </c>
      <c r="CG199" s="339"/>
      <c r="CH199" s="339"/>
      <c r="CI199" s="339"/>
      <c r="CJ199" s="339"/>
      <c r="CK199" s="339"/>
      <c r="CL199" s="339">
        <f t="shared" si="106"/>
        <v>0</v>
      </c>
      <c r="CN199" s="339"/>
      <c r="CO199" s="339"/>
      <c r="CP199" s="339"/>
      <c r="CQ199" s="339"/>
      <c r="CR199" s="339"/>
      <c r="CS199" s="339">
        <f t="shared" si="107"/>
        <v>0</v>
      </c>
      <c r="CU199" s="339"/>
      <c r="CV199" s="339"/>
      <c r="CW199" s="339"/>
      <c r="CX199" s="339"/>
      <c r="CY199" s="339"/>
      <c r="CZ199" s="339">
        <f t="shared" si="108"/>
        <v>0</v>
      </c>
      <c r="DB199" s="339"/>
      <c r="DC199" s="339"/>
      <c r="DD199" s="339"/>
      <c r="DE199" s="339"/>
      <c r="DF199" s="339"/>
      <c r="DG199" s="339">
        <f t="shared" si="59"/>
        <v>0</v>
      </c>
      <c r="DI199" s="339"/>
      <c r="DJ199" s="339"/>
      <c r="DK199" s="339"/>
      <c r="DL199" s="339"/>
      <c r="DM199" s="339"/>
      <c r="DN199" s="339">
        <f t="shared" si="60"/>
        <v>0</v>
      </c>
    </row>
    <row r="200" spans="19:118">
      <c r="S200" s="412"/>
      <c r="T200" s="412"/>
      <c r="V200" s="339"/>
      <c r="W200" s="339"/>
      <c r="X200" s="339"/>
      <c r="Y200" s="339"/>
      <c r="Z200" s="339"/>
      <c r="AA200" s="339">
        <f t="shared" si="97"/>
        <v>0</v>
      </c>
      <c r="AC200" s="339"/>
      <c r="AD200" s="339"/>
      <c r="AE200" s="339"/>
      <c r="AF200" s="339"/>
      <c r="AG200" s="339"/>
      <c r="AH200" s="339">
        <f t="shared" si="98"/>
        <v>0</v>
      </c>
      <c r="AJ200" s="339"/>
      <c r="AK200" s="339"/>
      <c r="AL200" s="339"/>
      <c r="AM200" s="339"/>
      <c r="AN200" s="339"/>
      <c r="AO200" s="339">
        <f t="shared" si="99"/>
        <v>0</v>
      </c>
      <c r="AQ200" s="339"/>
      <c r="AR200" s="339"/>
      <c r="AS200" s="339"/>
      <c r="AT200" s="339"/>
      <c r="AU200" s="339"/>
      <c r="AV200" s="339">
        <f t="shared" si="100"/>
        <v>0</v>
      </c>
      <c r="AX200" s="339"/>
      <c r="AY200" s="339"/>
      <c r="AZ200" s="339"/>
      <c r="BA200" s="339"/>
      <c r="BB200" s="339"/>
      <c r="BC200" s="339">
        <f t="shared" si="101"/>
        <v>0</v>
      </c>
      <c r="BE200" s="339"/>
      <c r="BF200" s="339"/>
      <c r="BG200" s="339"/>
      <c r="BH200" s="339"/>
      <c r="BI200" s="339"/>
      <c r="BJ200" s="339">
        <f t="shared" si="102"/>
        <v>0</v>
      </c>
      <c r="BL200" s="339"/>
      <c r="BM200" s="339"/>
      <c r="BN200" s="339"/>
      <c r="BO200" s="339"/>
      <c r="BP200" s="339"/>
      <c r="BQ200" s="339">
        <f t="shared" si="103"/>
        <v>0</v>
      </c>
      <c r="BS200" s="339"/>
      <c r="BT200" s="339"/>
      <c r="BU200" s="339"/>
      <c r="BV200" s="339"/>
      <c r="BW200" s="339"/>
      <c r="BX200" s="339">
        <f t="shared" si="104"/>
        <v>0</v>
      </c>
      <c r="BZ200" s="339"/>
      <c r="CA200" s="339"/>
      <c r="CB200" s="339"/>
      <c r="CC200" s="339"/>
      <c r="CD200" s="339"/>
      <c r="CE200" s="339">
        <f t="shared" si="105"/>
        <v>0</v>
      </c>
      <c r="CG200" s="339"/>
      <c r="CH200" s="339"/>
      <c r="CI200" s="339"/>
      <c r="CJ200" s="339"/>
      <c r="CK200" s="339"/>
      <c r="CL200" s="339">
        <f t="shared" si="106"/>
        <v>0</v>
      </c>
      <c r="CN200" s="339"/>
      <c r="CO200" s="339"/>
      <c r="CP200" s="339"/>
      <c r="CQ200" s="339"/>
      <c r="CR200" s="339"/>
      <c r="CS200" s="339">
        <f t="shared" si="107"/>
        <v>0</v>
      </c>
      <c r="CU200" s="339"/>
      <c r="CV200" s="339"/>
      <c r="CW200" s="339"/>
      <c r="CX200" s="339"/>
      <c r="CY200" s="339"/>
      <c r="CZ200" s="339">
        <f t="shared" si="108"/>
        <v>0</v>
      </c>
      <c r="DB200" s="339"/>
      <c r="DC200" s="339"/>
      <c r="DD200" s="339"/>
      <c r="DE200" s="339"/>
      <c r="DF200" s="339"/>
      <c r="DG200" s="339">
        <f t="shared" si="59"/>
        <v>0</v>
      </c>
      <c r="DI200" s="339"/>
      <c r="DJ200" s="339"/>
      <c r="DK200" s="339"/>
      <c r="DL200" s="339"/>
      <c r="DM200" s="339"/>
      <c r="DN200" s="339">
        <f t="shared" si="60"/>
        <v>0</v>
      </c>
    </row>
    <row r="201" spans="19:118">
      <c r="S201" s="412"/>
      <c r="T201" s="412"/>
      <c r="V201" s="339"/>
      <c r="W201" s="339"/>
      <c r="X201" s="339"/>
      <c r="Y201" s="339"/>
      <c r="Z201" s="339"/>
      <c r="AA201" s="339">
        <f t="shared" si="97"/>
        <v>0</v>
      </c>
      <c r="AC201" s="339"/>
      <c r="AD201" s="339"/>
      <c r="AE201" s="339"/>
      <c r="AF201" s="339"/>
      <c r="AG201" s="339"/>
      <c r="AH201" s="339">
        <f t="shared" si="98"/>
        <v>0</v>
      </c>
      <c r="AJ201" s="339"/>
      <c r="AK201" s="339"/>
      <c r="AL201" s="339"/>
      <c r="AM201" s="339"/>
      <c r="AN201" s="339"/>
      <c r="AO201" s="339">
        <f t="shared" si="99"/>
        <v>0</v>
      </c>
      <c r="AQ201" s="339"/>
      <c r="AR201" s="339"/>
      <c r="AS201" s="339"/>
      <c r="AT201" s="339"/>
      <c r="AU201" s="339"/>
      <c r="AV201" s="339">
        <f t="shared" si="100"/>
        <v>0</v>
      </c>
      <c r="AX201" s="339"/>
      <c r="AY201" s="339"/>
      <c r="AZ201" s="339"/>
      <c r="BA201" s="339"/>
      <c r="BB201" s="339"/>
      <c r="BC201" s="339">
        <f t="shared" si="101"/>
        <v>0</v>
      </c>
      <c r="BE201" s="339"/>
      <c r="BF201" s="339"/>
      <c r="BG201" s="339"/>
      <c r="BH201" s="339"/>
      <c r="BI201" s="339"/>
      <c r="BJ201" s="339">
        <f t="shared" si="102"/>
        <v>0</v>
      </c>
      <c r="BL201" s="339"/>
      <c r="BM201" s="339"/>
      <c r="BN201" s="339"/>
      <c r="BO201" s="339"/>
      <c r="BP201" s="339"/>
      <c r="BQ201" s="339">
        <f t="shared" si="103"/>
        <v>0</v>
      </c>
      <c r="BS201" s="339"/>
      <c r="BT201" s="339"/>
      <c r="BU201" s="339"/>
      <c r="BV201" s="339"/>
      <c r="BW201" s="339"/>
      <c r="BX201" s="339">
        <f t="shared" si="104"/>
        <v>0</v>
      </c>
      <c r="BZ201" s="339"/>
      <c r="CA201" s="339"/>
      <c r="CB201" s="339"/>
      <c r="CC201" s="339"/>
      <c r="CD201" s="339"/>
      <c r="CE201" s="339">
        <f t="shared" si="105"/>
        <v>0</v>
      </c>
      <c r="CG201" s="339"/>
      <c r="CH201" s="339"/>
      <c r="CI201" s="339"/>
      <c r="CJ201" s="339"/>
      <c r="CK201" s="339"/>
      <c r="CL201" s="339">
        <f t="shared" si="106"/>
        <v>0</v>
      </c>
      <c r="CN201" s="339"/>
      <c r="CO201" s="339"/>
      <c r="CP201" s="339"/>
      <c r="CQ201" s="339"/>
      <c r="CR201" s="339"/>
      <c r="CS201" s="339">
        <f t="shared" si="107"/>
        <v>0</v>
      </c>
      <c r="CU201" s="339"/>
      <c r="CV201" s="339"/>
      <c r="CW201" s="339"/>
      <c r="CX201" s="339"/>
      <c r="CY201" s="339"/>
      <c r="CZ201" s="339">
        <f t="shared" si="108"/>
        <v>0</v>
      </c>
      <c r="DB201" s="339"/>
      <c r="DC201" s="339"/>
      <c r="DD201" s="339"/>
      <c r="DE201" s="339"/>
      <c r="DF201" s="339"/>
      <c r="DG201" s="339">
        <f t="shared" si="59"/>
        <v>0</v>
      </c>
      <c r="DI201" s="339"/>
      <c r="DJ201" s="339"/>
      <c r="DK201" s="339"/>
      <c r="DL201" s="339"/>
      <c r="DM201" s="339"/>
      <c r="DN201" s="339">
        <f t="shared" si="60"/>
        <v>0</v>
      </c>
    </row>
    <row r="202" spans="19:118">
      <c r="S202" s="412"/>
      <c r="T202" s="412"/>
      <c r="V202" s="339"/>
      <c r="W202" s="339"/>
      <c r="X202" s="339"/>
      <c r="Y202" s="339"/>
      <c r="Z202" s="339"/>
      <c r="AA202" s="339">
        <f t="shared" si="97"/>
        <v>0</v>
      </c>
      <c r="AC202" s="339"/>
      <c r="AD202" s="339"/>
      <c r="AE202" s="339"/>
      <c r="AF202" s="339"/>
      <c r="AG202" s="339"/>
      <c r="AH202" s="339">
        <f t="shared" si="98"/>
        <v>0</v>
      </c>
      <c r="AJ202" s="339"/>
      <c r="AK202" s="339"/>
      <c r="AL202" s="339"/>
      <c r="AM202" s="339"/>
      <c r="AN202" s="339"/>
      <c r="AO202" s="339">
        <f t="shared" si="99"/>
        <v>0</v>
      </c>
      <c r="AQ202" s="339"/>
      <c r="AR202" s="339"/>
      <c r="AS202" s="339"/>
      <c r="AT202" s="339"/>
      <c r="AU202" s="339"/>
      <c r="AV202" s="339">
        <f t="shared" si="100"/>
        <v>0</v>
      </c>
      <c r="AX202" s="339"/>
      <c r="AY202" s="339"/>
      <c r="AZ202" s="339"/>
      <c r="BA202" s="339"/>
      <c r="BB202" s="339"/>
      <c r="BC202" s="339">
        <f t="shared" si="101"/>
        <v>0</v>
      </c>
      <c r="BE202" s="339"/>
      <c r="BF202" s="339"/>
      <c r="BG202" s="339"/>
      <c r="BH202" s="339"/>
      <c r="BI202" s="339"/>
      <c r="BJ202" s="339">
        <f t="shared" si="102"/>
        <v>0</v>
      </c>
      <c r="BL202" s="339"/>
      <c r="BM202" s="339"/>
      <c r="BN202" s="339"/>
      <c r="BO202" s="339"/>
      <c r="BP202" s="339"/>
      <c r="BQ202" s="339">
        <f t="shared" si="103"/>
        <v>0</v>
      </c>
      <c r="BS202" s="339"/>
      <c r="BT202" s="339"/>
      <c r="BU202" s="339"/>
      <c r="BV202" s="339"/>
      <c r="BW202" s="339"/>
      <c r="BX202" s="339">
        <f t="shared" si="104"/>
        <v>0</v>
      </c>
      <c r="BZ202" s="339"/>
      <c r="CA202" s="339"/>
      <c r="CB202" s="339"/>
      <c r="CC202" s="339"/>
      <c r="CD202" s="339"/>
      <c r="CE202" s="339">
        <f t="shared" si="105"/>
        <v>0</v>
      </c>
      <c r="CG202" s="339"/>
      <c r="CH202" s="339"/>
      <c r="CI202" s="339"/>
      <c r="CJ202" s="339"/>
      <c r="CK202" s="339"/>
      <c r="CL202" s="339">
        <f t="shared" si="106"/>
        <v>0</v>
      </c>
      <c r="CN202" s="339"/>
      <c r="CO202" s="339"/>
      <c r="CP202" s="339"/>
      <c r="CQ202" s="339"/>
      <c r="CR202" s="339"/>
      <c r="CS202" s="339">
        <f t="shared" si="107"/>
        <v>0</v>
      </c>
      <c r="CU202" s="339"/>
      <c r="CV202" s="339"/>
      <c r="CW202" s="339"/>
      <c r="CX202" s="339"/>
      <c r="CY202" s="339"/>
      <c r="CZ202" s="339">
        <f t="shared" si="108"/>
        <v>0</v>
      </c>
      <c r="DB202" s="339"/>
      <c r="DC202" s="339"/>
      <c r="DD202" s="339"/>
      <c r="DE202" s="339"/>
      <c r="DF202" s="339"/>
      <c r="DG202" s="339">
        <f t="shared" si="59"/>
        <v>0</v>
      </c>
      <c r="DI202" s="339"/>
      <c r="DJ202" s="339"/>
      <c r="DK202" s="339"/>
      <c r="DL202" s="339"/>
      <c r="DM202" s="339"/>
      <c r="DN202" s="339">
        <f t="shared" si="60"/>
        <v>0</v>
      </c>
    </row>
    <row r="203" spans="19:118">
      <c r="S203" s="412"/>
      <c r="T203" s="412"/>
      <c r="V203" s="339"/>
      <c r="W203" s="339"/>
      <c r="X203" s="339"/>
      <c r="Y203" s="339"/>
      <c r="Z203" s="339"/>
      <c r="AA203" s="339">
        <f t="shared" si="73"/>
        <v>0</v>
      </c>
      <c r="AC203" s="339"/>
      <c r="AD203" s="339"/>
      <c r="AE203" s="339"/>
      <c r="AF203" s="339"/>
      <c r="AG203" s="339"/>
      <c r="AH203" s="339">
        <f t="shared" si="74"/>
        <v>0</v>
      </c>
      <c r="AJ203" s="339"/>
      <c r="AK203" s="339"/>
      <c r="AL203" s="339"/>
      <c r="AM203" s="339"/>
      <c r="AN203" s="339"/>
      <c r="AO203" s="339">
        <f t="shared" si="75"/>
        <v>0</v>
      </c>
      <c r="AQ203" s="339"/>
      <c r="AR203" s="339"/>
      <c r="AS203" s="339"/>
      <c r="AT203" s="339"/>
      <c r="AU203" s="339"/>
      <c r="AV203" s="339">
        <f t="shared" si="76"/>
        <v>0</v>
      </c>
      <c r="AX203" s="339"/>
      <c r="AY203" s="339"/>
      <c r="AZ203" s="339"/>
      <c r="BA203" s="339"/>
      <c r="BB203" s="339"/>
      <c r="BC203" s="339">
        <f t="shared" si="77"/>
        <v>0</v>
      </c>
      <c r="BE203" s="339"/>
      <c r="BF203" s="339"/>
      <c r="BG203" s="339"/>
      <c r="BH203" s="339"/>
      <c r="BI203" s="339"/>
      <c r="BJ203" s="339">
        <f t="shared" si="78"/>
        <v>0</v>
      </c>
      <c r="BL203" s="339"/>
      <c r="BM203" s="339"/>
      <c r="BN203" s="339"/>
      <c r="BO203" s="339"/>
      <c r="BP203" s="339"/>
      <c r="BQ203" s="339">
        <f t="shared" si="79"/>
        <v>0</v>
      </c>
      <c r="BS203" s="339"/>
      <c r="BT203" s="339"/>
      <c r="BU203" s="339"/>
      <c r="BV203" s="339"/>
      <c r="BW203" s="339"/>
      <c r="BX203" s="339">
        <f t="shared" si="80"/>
        <v>0</v>
      </c>
      <c r="BZ203" s="339"/>
      <c r="CA203" s="339"/>
      <c r="CB203" s="339"/>
      <c r="CC203" s="339"/>
      <c r="CD203" s="339"/>
      <c r="CE203" s="339">
        <f t="shared" si="81"/>
        <v>0</v>
      </c>
      <c r="CG203" s="339"/>
      <c r="CH203" s="339"/>
      <c r="CI203" s="339"/>
      <c r="CJ203" s="339"/>
      <c r="CK203" s="339"/>
      <c r="CL203" s="339">
        <f t="shared" si="82"/>
        <v>0</v>
      </c>
      <c r="CN203" s="339"/>
      <c r="CO203" s="339"/>
      <c r="CP203" s="339"/>
      <c r="CQ203" s="339"/>
      <c r="CR203" s="339"/>
      <c r="CS203" s="339">
        <f t="shared" si="83"/>
        <v>0</v>
      </c>
      <c r="CU203" s="339"/>
      <c r="CV203" s="339"/>
      <c r="CW203" s="339"/>
      <c r="CX203" s="339"/>
      <c r="CY203" s="339"/>
      <c r="CZ203" s="339">
        <f t="shared" si="84"/>
        <v>0</v>
      </c>
      <c r="DB203" s="339"/>
      <c r="DC203" s="339"/>
      <c r="DD203" s="339"/>
      <c r="DE203" s="339"/>
      <c r="DF203" s="339"/>
      <c r="DG203" s="339">
        <f t="shared" si="59"/>
        <v>0</v>
      </c>
      <c r="DI203" s="339"/>
      <c r="DJ203" s="339"/>
      <c r="DK203" s="339"/>
      <c r="DL203" s="339"/>
      <c r="DM203" s="339"/>
      <c r="DN203" s="339">
        <f t="shared" si="60"/>
        <v>0</v>
      </c>
    </row>
    <row r="204" spans="19:118">
      <c r="S204" s="412"/>
      <c r="T204" s="417"/>
      <c r="V204" s="339"/>
      <c r="W204" s="339"/>
      <c r="X204" s="339"/>
      <c r="Y204" s="339"/>
      <c r="Z204" s="339"/>
      <c r="AA204" s="339">
        <f t="shared" si="47"/>
        <v>0</v>
      </c>
      <c r="AC204" s="339"/>
      <c r="AD204" s="339"/>
      <c r="AE204" s="339"/>
      <c r="AF204" s="339"/>
      <c r="AG204" s="339"/>
      <c r="AH204" s="339">
        <f t="shared" si="48"/>
        <v>0</v>
      </c>
      <c r="AJ204" s="339"/>
      <c r="AK204" s="339"/>
      <c r="AL204" s="339"/>
      <c r="AM204" s="339"/>
      <c r="AN204" s="339"/>
      <c r="AO204" s="339">
        <f t="shared" si="49"/>
        <v>0</v>
      </c>
      <c r="AQ204" s="339"/>
      <c r="AR204" s="339"/>
      <c r="AS204" s="339"/>
      <c r="AT204" s="339"/>
      <c r="AU204" s="339"/>
      <c r="AV204" s="339">
        <f t="shared" si="50"/>
        <v>0</v>
      </c>
      <c r="AX204" s="339"/>
      <c r="AY204" s="339"/>
      <c r="AZ204" s="339"/>
      <c r="BA204" s="339"/>
      <c r="BB204" s="339"/>
      <c r="BC204" s="339">
        <f t="shared" si="51"/>
        <v>0</v>
      </c>
      <c r="BE204" s="339"/>
      <c r="BF204" s="339"/>
      <c r="BG204" s="339"/>
      <c r="BH204" s="339"/>
      <c r="BI204" s="339"/>
      <c r="BJ204" s="339">
        <f t="shared" si="52"/>
        <v>0</v>
      </c>
      <c r="BL204" s="339"/>
      <c r="BM204" s="339"/>
      <c r="BN204" s="339"/>
      <c r="BO204" s="339"/>
      <c r="BP204" s="339"/>
      <c r="BQ204" s="339">
        <f t="shared" si="53"/>
        <v>0</v>
      </c>
      <c r="BS204" s="339"/>
      <c r="BT204" s="339"/>
      <c r="BU204" s="339"/>
      <c r="BV204" s="339"/>
      <c r="BW204" s="339"/>
      <c r="BX204" s="339">
        <f t="shared" si="54"/>
        <v>0</v>
      </c>
      <c r="BZ204" s="339"/>
      <c r="CA204" s="339"/>
      <c r="CB204" s="339"/>
      <c r="CC204" s="339"/>
      <c r="CD204" s="339"/>
      <c r="CE204" s="339">
        <f t="shared" si="55"/>
        <v>0</v>
      </c>
      <c r="CG204" s="339"/>
      <c r="CH204" s="339"/>
      <c r="CI204" s="339"/>
      <c r="CJ204" s="339"/>
      <c r="CK204" s="339"/>
      <c r="CL204" s="339">
        <f t="shared" si="56"/>
        <v>0</v>
      </c>
      <c r="CN204" s="339"/>
      <c r="CO204" s="339"/>
      <c r="CP204" s="339"/>
      <c r="CQ204" s="339"/>
      <c r="CR204" s="339"/>
      <c r="CS204" s="339">
        <f t="shared" si="57"/>
        <v>0</v>
      </c>
      <c r="CU204" s="339"/>
      <c r="CV204" s="339"/>
      <c r="CW204" s="339"/>
      <c r="CX204" s="339"/>
      <c r="CY204" s="339"/>
      <c r="CZ204" s="339">
        <f t="shared" si="58"/>
        <v>0</v>
      </c>
      <c r="DB204" s="339"/>
      <c r="DC204" s="339"/>
      <c r="DD204" s="339"/>
      <c r="DE204" s="339"/>
      <c r="DF204" s="339"/>
      <c r="DG204" s="339">
        <f t="shared" si="59"/>
        <v>0</v>
      </c>
      <c r="DI204" s="339"/>
      <c r="DJ204" s="339"/>
      <c r="DK204" s="339"/>
      <c r="DL204" s="339"/>
      <c r="DM204" s="339"/>
      <c r="DN204" s="339">
        <f t="shared" si="60"/>
        <v>0</v>
      </c>
    </row>
    <row r="205" spans="19:118">
      <c r="S205" s="417"/>
      <c r="T205" s="417"/>
      <c r="V205" s="339"/>
      <c r="W205" s="339"/>
      <c r="X205" s="339"/>
      <c r="Y205" s="339"/>
      <c r="Z205" s="339"/>
      <c r="AA205" s="339">
        <f t="shared" si="47"/>
        <v>0</v>
      </c>
      <c r="AC205" s="339"/>
      <c r="AD205" s="339"/>
      <c r="AE205" s="339"/>
      <c r="AF205" s="339"/>
      <c r="AG205" s="339"/>
      <c r="AH205" s="339">
        <f t="shared" si="48"/>
        <v>0</v>
      </c>
      <c r="AJ205" s="339"/>
      <c r="AK205" s="339"/>
      <c r="AL205" s="339"/>
      <c r="AM205" s="339"/>
      <c r="AN205" s="339"/>
      <c r="AO205" s="339">
        <f t="shared" si="49"/>
        <v>0</v>
      </c>
      <c r="AQ205" s="339"/>
      <c r="AR205" s="339"/>
      <c r="AS205" s="339"/>
      <c r="AT205" s="339"/>
      <c r="AU205" s="339"/>
      <c r="AV205" s="339">
        <f t="shared" si="50"/>
        <v>0</v>
      </c>
      <c r="AX205" s="339"/>
      <c r="AY205" s="339"/>
      <c r="AZ205" s="339"/>
      <c r="BA205" s="339"/>
      <c r="BB205" s="339"/>
      <c r="BC205" s="339">
        <f t="shared" si="51"/>
        <v>0</v>
      </c>
      <c r="BE205" s="339"/>
      <c r="BF205" s="339"/>
      <c r="BG205" s="339"/>
      <c r="BH205" s="339"/>
      <c r="BI205" s="339"/>
      <c r="BJ205" s="339">
        <f t="shared" si="52"/>
        <v>0</v>
      </c>
      <c r="BL205" s="339"/>
      <c r="BM205" s="339"/>
      <c r="BN205" s="339"/>
      <c r="BO205" s="339"/>
      <c r="BP205" s="339"/>
      <c r="BQ205" s="339">
        <f t="shared" si="53"/>
        <v>0</v>
      </c>
      <c r="BS205" s="339"/>
      <c r="BT205" s="339"/>
      <c r="BU205" s="339"/>
      <c r="BV205" s="339"/>
      <c r="BW205" s="339"/>
      <c r="BX205" s="339">
        <f t="shared" si="54"/>
        <v>0</v>
      </c>
      <c r="BZ205" s="339"/>
      <c r="CA205" s="339"/>
      <c r="CB205" s="339"/>
      <c r="CC205" s="339"/>
      <c r="CD205" s="339"/>
      <c r="CE205" s="339">
        <f t="shared" si="55"/>
        <v>0</v>
      </c>
      <c r="CG205" s="339"/>
      <c r="CH205" s="339"/>
      <c r="CI205" s="339"/>
      <c r="CJ205" s="339"/>
      <c r="CK205" s="339"/>
      <c r="CL205" s="339">
        <f t="shared" si="56"/>
        <v>0</v>
      </c>
      <c r="CN205" s="339"/>
      <c r="CO205" s="339"/>
      <c r="CP205" s="339"/>
      <c r="CQ205" s="339"/>
      <c r="CR205" s="339"/>
      <c r="CS205" s="339">
        <f t="shared" si="57"/>
        <v>0</v>
      </c>
      <c r="CU205" s="339"/>
      <c r="CV205" s="339"/>
      <c r="CW205" s="339"/>
      <c r="CX205" s="339"/>
      <c r="CY205" s="339"/>
      <c r="CZ205" s="339">
        <f t="shared" si="58"/>
        <v>0</v>
      </c>
      <c r="DB205" s="339"/>
      <c r="DC205" s="339"/>
      <c r="DD205" s="339"/>
      <c r="DE205" s="339"/>
      <c r="DF205" s="339"/>
      <c r="DG205" s="339">
        <f t="shared" si="59"/>
        <v>0</v>
      </c>
      <c r="DI205" s="339"/>
      <c r="DJ205" s="339"/>
      <c r="DK205" s="339"/>
      <c r="DL205" s="339"/>
      <c r="DM205" s="339"/>
      <c r="DN205" s="339">
        <f t="shared" si="60"/>
        <v>0</v>
      </c>
    </row>
    <row r="206" spans="19:118">
      <c r="S206" s="417"/>
      <c r="T206" s="417"/>
      <c r="V206" s="339"/>
      <c r="W206" s="339"/>
      <c r="X206" s="339"/>
      <c r="Y206" s="339"/>
      <c r="Z206" s="339"/>
      <c r="AA206" s="339">
        <f t="shared" si="47"/>
        <v>0</v>
      </c>
      <c r="AC206" s="339"/>
      <c r="AD206" s="339"/>
      <c r="AE206" s="339"/>
      <c r="AF206" s="339"/>
      <c r="AG206" s="339"/>
      <c r="AH206" s="339">
        <f t="shared" si="48"/>
        <v>0</v>
      </c>
      <c r="AJ206" s="339"/>
      <c r="AK206" s="339"/>
      <c r="AL206" s="339"/>
      <c r="AM206" s="339"/>
      <c r="AN206" s="339"/>
      <c r="AO206" s="339">
        <f t="shared" si="49"/>
        <v>0</v>
      </c>
      <c r="AQ206" s="339"/>
      <c r="AR206" s="339"/>
      <c r="AS206" s="339"/>
      <c r="AT206" s="339"/>
      <c r="AU206" s="339"/>
      <c r="AV206" s="339">
        <f t="shared" si="50"/>
        <v>0</v>
      </c>
      <c r="AX206" s="339"/>
      <c r="AY206" s="339"/>
      <c r="AZ206" s="339"/>
      <c r="BA206" s="339"/>
      <c r="BB206" s="339"/>
      <c r="BC206" s="339">
        <f t="shared" si="51"/>
        <v>0</v>
      </c>
      <c r="BE206" s="339"/>
      <c r="BF206" s="339"/>
      <c r="BG206" s="339"/>
      <c r="BH206" s="339"/>
      <c r="BI206" s="339"/>
      <c r="BJ206" s="339">
        <f t="shared" si="52"/>
        <v>0</v>
      </c>
      <c r="BL206" s="339"/>
      <c r="BM206" s="339"/>
      <c r="BN206" s="339"/>
      <c r="BO206" s="339"/>
      <c r="BP206" s="339"/>
      <c r="BQ206" s="339">
        <f t="shared" si="53"/>
        <v>0</v>
      </c>
      <c r="BS206" s="339"/>
      <c r="BT206" s="339"/>
      <c r="BU206" s="339"/>
      <c r="BV206" s="339"/>
      <c r="BW206" s="339"/>
      <c r="BX206" s="339">
        <f t="shared" si="54"/>
        <v>0</v>
      </c>
      <c r="BZ206" s="339"/>
      <c r="CA206" s="339"/>
      <c r="CB206" s="339"/>
      <c r="CC206" s="339"/>
      <c r="CD206" s="339"/>
      <c r="CE206" s="339">
        <f t="shared" si="55"/>
        <v>0</v>
      </c>
      <c r="CG206" s="339"/>
      <c r="CH206" s="339"/>
      <c r="CI206" s="339"/>
      <c r="CJ206" s="339"/>
      <c r="CK206" s="339"/>
      <c r="CL206" s="339">
        <f t="shared" si="56"/>
        <v>0</v>
      </c>
      <c r="CN206" s="339"/>
      <c r="CO206" s="339"/>
      <c r="CP206" s="339"/>
      <c r="CQ206" s="339"/>
      <c r="CR206" s="339"/>
      <c r="CS206" s="339">
        <f t="shared" si="57"/>
        <v>0</v>
      </c>
      <c r="CU206" s="339"/>
      <c r="CV206" s="339"/>
      <c r="CW206" s="339"/>
      <c r="CX206" s="339"/>
      <c r="CY206" s="339"/>
      <c r="CZ206" s="339">
        <f t="shared" si="58"/>
        <v>0</v>
      </c>
      <c r="DB206" s="339"/>
      <c r="DC206" s="339"/>
      <c r="DD206" s="339"/>
      <c r="DE206" s="339"/>
      <c r="DF206" s="339"/>
      <c r="DG206" s="339">
        <f t="shared" si="59"/>
        <v>0</v>
      </c>
      <c r="DI206" s="339"/>
      <c r="DJ206" s="339"/>
      <c r="DK206" s="339"/>
      <c r="DL206" s="339"/>
      <c r="DM206" s="339"/>
      <c r="DN206" s="339">
        <f t="shared" si="60"/>
        <v>0</v>
      </c>
    </row>
    <row r="207" spans="19:118">
      <c r="S207" s="417"/>
      <c r="T207" s="417"/>
      <c r="V207" s="339"/>
      <c r="W207" s="339"/>
      <c r="X207" s="339"/>
      <c r="Y207" s="339"/>
      <c r="Z207" s="339"/>
      <c r="AA207" s="339">
        <f t="shared" si="47"/>
        <v>0</v>
      </c>
      <c r="AC207" s="339"/>
      <c r="AD207" s="339"/>
      <c r="AE207" s="339"/>
      <c r="AF207" s="339"/>
      <c r="AG207" s="339"/>
      <c r="AH207" s="339">
        <f t="shared" si="48"/>
        <v>0</v>
      </c>
      <c r="AJ207" s="339"/>
      <c r="AK207" s="339"/>
      <c r="AL207" s="339"/>
      <c r="AM207" s="339"/>
      <c r="AN207" s="339"/>
      <c r="AO207" s="339">
        <f t="shared" si="49"/>
        <v>0</v>
      </c>
      <c r="AQ207" s="339"/>
      <c r="AR207" s="339"/>
      <c r="AS207" s="339"/>
      <c r="AT207" s="339"/>
      <c r="AU207" s="339"/>
      <c r="AV207" s="339">
        <f t="shared" si="50"/>
        <v>0</v>
      </c>
      <c r="AX207" s="339"/>
      <c r="AY207" s="339"/>
      <c r="AZ207" s="339"/>
      <c r="BA207" s="339"/>
      <c r="BB207" s="339"/>
      <c r="BC207" s="339">
        <f t="shared" si="51"/>
        <v>0</v>
      </c>
      <c r="BE207" s="339"/>
      <c r="BF207" s="339"/>
      <c r="BG207" s="339"/>
      <c r="BH207" s="339"/>
      <c r="BI207" s="339"/>
      <c r="BJ207" s="339">
        <f t="shared" si="52"/>
        <v>0</v>
      </c>
      <c r="BL207" s="339"/>
      <c r="BM207" s="339"/>
      <c r="BN207" s="339"/>
      <c r="BO207" s="339"/>
      <c r="BP207" s="339"/>
      <c r="BQ207" s="339">
        <f t="shared" si="53"/>
        <v>0</v>
      </c>
      <c r="BS207" s="339"/>
      <c r="BT207" s="339"/>
      <c r="BU207" s="339"/>
      <c r="BV207" s="339"/>
      <c r="BW207" s="339"/>
      <c r="BX207" s="339">
        <f t="shared" si="54"/>
        <v>0</v>
      </c>
      <c r="BZ207" s="339"/>
      <c r="CA207" s="339"/>
      <c r="CB207" s="339"/>
      <c r="CC207" s="339"/>
      <c r="CD207" s="339"/>
      <c r="CE207" s="339">
        <f t="shared" si="55"/>
        <v>0</v>
      </c>
      <c r="CG207" s="339"/>
      <c r="CH207" s="339"/>
      <c r="CI207" s="339"/>
      <c r="CJ207" s="339"/>
      <c r="CK207" s="339"/>
      <c r="CL207" s="339">
        <f t="shared" si="56"/>
        <v>0</v>
      </c>
      <c r="CN207" s="339"/>
      <c r="CO207" s="339"/>
      <c r="CP207" s="339"/>
      <c r="CQ207" s="339"/>
      <c r="CR207" s="339"/>
      <c r="CS207" s="339">
        <f t="shared" si="57"/>
        <v>0</v>
      </c>
      <c r="CU207" s="339"/>
      <c r="CV207" s="339"/>
      <c r="CW207" s="339"/>
      <c r="CX207" s="339"/>
      <c r="CY207" s="339"/>
      <c r="CZ207" s="339">
        <f t="shared" si="58"/>
        <v>0</v>
      </c>
      <c r="DB207" s="339"/>
      <c r="DC207" s="339"/>
      <c r="DD207" s="339"/>
      <c r="DE207" s="339"/>
      <c r="DF207" s="339"/>
      <c r="DG207" s="339">
        <f t="shared" si="59"/>
        <v>0</v>
      </c>
      <c r="DI207" s="339"/>
      <c r="DJ207" s="339"/>
      <c r="DK207" s="339"/>
      <c r="DL207" s="339"/>
      <c r="DM207" s="339"/>
      <c r="DN207" s="339">
        <f t="shared" si="60"/>
        <v>0</v>
      </c>
    </row>
    <row r="208" spans="19:118">
      <c r="S208" s="412"/>
      <c r="T208" s="412"/>
      <c r="V208" s="339"/>
      <c r="W208" s="339"/>
      <c r="X208" s="339"/>
      <c r="Y208" s="339"/>
      <c r="Z208" s="339"/>
      <c r="AA208" s="339">
        <f t="shared" si="47"/>
        <v>0</v>
      </c>
      <c r="AC208" s="339"/>
      <c r="AD208" s="339"/>
      <c r="AE208" s="339"/>
      <c r="AF208" s="339"/>
      <c r="AG208" s="339"/>
      <c r="AH208" s="339">
        <f t="shared" si="48"/>
        <v>0</v>
      </c>
      <c r="AJ208" s="339"/>
      <c r="AK208" s="339"/>
      <c r="AL208" s="339"/>
      <c r="AM208" s="339"/>
      <c r="AN208" s="339"/>
      <c r="AO208" s="339">
        <f t="shared" si="49"/>
        <v>0</v>
      </c>
      <c r="AQ208" s="339"/>
      <c r="AR208" s="339"/>
      <c r="AS208" s="339"/>
      <c r="AT208" s="339"/>
      <c r="AU208" s="339"/>
      <c r="AV208" s="339">
        <f t="shared" si="50"/>
        <v>0</v>
      </c>
      <c r="AX208" s="339"/>
      <c r="AY208" s="339"/>
      <c r="AZ208" s="339"/>
      <c r="BA208" s="339"/>
      <c r="BB208" s="339"/>
      <c r="BC208" s="339">
        <f t="shared" si="51"/>
        <v>0</v>
      </c>
      <c r="BE208" s="339"/>
      <c r="BF208" s="339"/>
      <c r="BG208" s="339"/>
      <c r="BH208" s="339"/>
      <c r="BI208" s="339"/>
      <c r="BJ208" s="339">
        <f t="shared" si="52"/>
        <v>0</v>
      </c>
      <c r="BL208" s="339"/>
      <c r="BM208" s="339"/>
      <c r="BN208" s="339"/>
      <c r="BO208" s="339"/>
      <c r="BP208" s="339"/>
      <c r="BQ208" s="339">
        <f t="shared" si="53"/>
        <v>0</v>
      </c>
      <c r="BS208" s="339"/>
      <c r="BT208" s="339"/>
      <c r="BU208" s="339"/>
      <c r="BV208" s="339"/>
      <c r="BW208" s="339"/>
      <c r="BX208" s="339">
        <f t="shared" si="54"/>
        <v>0</v>
      </c>
      <c r="BZ208" s="339"/>
      <c r="CA208" s="339"/>
      <c r="CB208" s="339"/>
      <c r="CC208" s="339"/>
      <c r="CD208" s="339"/>
      <c r="CE208" s="339">
        <f t="shared" si="55"/>
        <v>0</v>
      </c>
      <c r="CG208" s="339"/>
      <c r="CH208" s="339"/>
      <c r="CI208" s="339"/>
      <c r="CJ208" s="339"/>
      <c r="CK208" s="339"/>
      <c r="CL208" s="339">
        <f t="shared" si="56"/>
        <v>0</v>
      </c>
      <c r="CN208" s="339"/>
      <c r="CO208" s="339"/>
      <c r="CP208" s="339"/>
      <c r="CQ208" s="339"/>
      <c r="CR208" s="339"/>
      <c r="CS208" s="339">
        <f t="shared" si="57"/>
        <v>0</v>
      </c>
      <c r="CU208" s="339"/>
      <c r="CV208" s="339"/>
      <c r="CW208" s="339"/>
      <c r="CX208" s="339"/>
      <c r="CY208" s="339"/>
      <c r="CZ208" s="339">
        <f t="shared" si="58"/>
        <v>0</v>
      </c>
      <c r="DB208" s="339"/>
      <c r="DC208" s="339"/>
      <c r="DD208" s="339"/>
      <c r="DE208" s="339"/>
      <c r="DF208" s="339"/>
      <c r="DG208" s="339">
        <f t="shared" si="59"/>
        <v>0</v>
      </c>
      <c r="DI208" s="339"/>
      <c r="DJ208" s="339"/>
      <c r="DK208" s="339"/>
      <c r="DL208" s="339"/>
      <c r="DM208" s="339"/>
      <c r="DN208" s="339">
        <f t="shared" si="60"/>
        <v>0</v>
      </c>
    </row>
    <row r="209" spans="1:118">
      <c r="S209" s="412"/>
      <c r="T209" s="412"/>
      <c r="V209" s="339"/>
      <c r="W209" s="339"/>
      <c r="X209" s="339"/>
      <c r="Y209" s="339"/>
      <c r="Z209" s="339"/>
      <c r="AA209" s="339">
        <f t="shared" si="47"/>
        <v>0</v>
      </c>
      <c r="AC209" s="339"/>
      <c r="AD209" s="339"/>
      <c r="AE209" s="339"/>
      <c r="AF209" s="339"/>
      <c r="AG209" s="339"/>
      <c r="AH209" s="339">
        <f t="shared" si="48"/>
        <v>0</v>
      </c>
      <c r="AJ209" s="339"/>
      <c r="AK209" s="339"/>
      <c r="AL209" s="339"/>
      <c r="AM209" s="339"/>
      <c r="AN209" s="339"/>
      <c r="AO209" s="339">
        <f t="shared" si="49"/>
        <v>0</v>
      </c>
      <c r="AQ209" s="339"/>
      <c r="AR209" s="339"/>
      <c r="AS209" s="339"/>
      <c r="AT209" s="339"/>
      <c r="AU209" s="339"/>
      <c r="AV209" s="339">
        <f t="shared" si="50"/>
        <v>0</v>
      </c>
      <c r="AX209" s="339"/>
      <c r="AY209" s="339"/>
      <c r="AZ209" s="339"/>
      <c r="BA209" s="339"/>
      <c r="BB209" s="339"/>
      <c r="BC209" s="339">
        <f t="shared" si="51"/>
        <v>0</v>
      </c>
      <c r="BE209" s="339"/>
      <c r="BF209" s="339"/>
      <c r="BG209" s="339"/>
      <c r="BH209" s="339"/>
      <c r="BI209" s="339"/>
      <c r="BJ209" s="339">
        <f t="shared" si="52"/>
        <v>0</v>
      </c>
      <c r="BL209" s="339"/>
      <c r="BM209" s="339"/>
      <c r="BN209" s="339"/>
      <c r="BO209" s="339"/>
      <c r="BP209" s="339"/>
      <c r="BQ209" s="339">
        <f t="shared" si="53"/>
        <v>0</v>
      </c>
      <c r="BS209" s="339"/>
      <c r="BT209" s="339"/>
      <c r="BU209" s="339"/>
      <c r="BV209" s="339"/>
      <c r="BW209" s="339"/>
      <c r="BX209" s="339">
        <f t="shared" si="54"/>
        <v>0</v>
      </c>
      <c r="BZ209" s="339"/>
      <c r="CA209" s="339"/>
      <c r="CB209" s="339"/>
      <c r="CC209" s="339"/>
      <c r="CD209" s="339"/>
      <c r="CE209" s="339">
        <f t="shared" si="55"/>
        <v>0</v>
      </c>
      <c r="CG209" s="339"/>
      <c r="CH209" s="339"/>
      <c r="CI209" s="339"/>
      <c r="CJ209" s="339"/>
      <c r="CK209" s="339"/>
      <c r="CL209" s="339">
        <f t="shared" si="56"/>
        <v>0</v>
      </c>
      <c r="CN209" s="339"/>
      <c r="CO209" s="339"/>
      <c r="CP209" s="339"/>
      <c r="CQ209" s="339"/>
      <c r="CR209" s="339"/>
      <c r="CS209" s="339">
        <f t="shared" si="57"/>
        <v>0</v>
      </c>
      <c r="CU209" s="339"/>
      <c r="CV209" s="339"/>
      <c r="CW209" s="339"/>
      <c r="CX209" s="339"/>
      <c r="CY209" s="339"/>
      <c r="CZ209" s="339">
        <f t="shared" si="58"/>
        <v>0</v>
      </c>
      <c r="DB209" s="339"/>
      <c r="DC209" s="339"/>
      <c r="DD209" s="339"/>
      <c r="DE209" s="339"/>
      <c r="DF209" s="339"/>
      <c r="DG209" s="339">
        <f t="shared" si="59"/>
        <v>0</v>
      </c>
      <c r="DI209" s="339"/>
      <c r="DJ209" s="339"/>
      <c r="DK209" s="339"/>
      <c r="DL209" s="339"/>
      <c r="DM209" s="339"/>
      <c r="DN209" s="339">
        <f t="shared" si="60"/>
        <v>0</v>
      </c>
    </row>
    <row r="210" spans="1:118">
      <c r="S210" s="412"/>
      <c r="T210" s="412"/>
      <c r="V210" s="339"/>
      <c r="W210" s="339"/>
      <c r="X210" s="339"/>
      <c r="Y210" s="339"/>
      <c r="Z210" s="339"/>
      <c r="AA210" s="339">
        <f t="shared" si="47"/>
        <v>0</v>
      </c>
      <c r="AC210" s="339"/>
      <c r="AD210" s="339"/>
      <c r="AE210" s="339"/>
      <c r="AF210" s="339"/>
      <c r="AG210" s="339"/>
      <c r="AH210" s="339">
        <f t="shared" si="48"/>
        <v>0</v>
      </c>
      <c r="AJ210" s="339"/>
      <c r="AK210" s="339"/>
      <c r="AL210" s="339"/>
      <c r="AM210" s="339"/>
      <c r="AN210" s="339"/>
      <c r="AO210" s="339">
        <f t="shared" si="49"/>
        <v>0</v>
      </c>
      <c r="AQ210" s="339"/>
      <c r="AR210" s="339"/>
      <c r="AS210" s="339"/>
      <c r="AT210" s="339"/>
      <c r="AU210" s="339"/>
      <c r="AV210" s="339">
        <f t="shared" si="50"/>
        <v>0</v>
      </c>
      <c r="AX210" s="339"/>
      <c r="AY210" s="339"/>
      <c r="AZ210" s="339"/>
      <c r="BA210" s="339"/>
      <c r="BB210" s="339"/>
      <c r="BC210" s="339">
        <f t="shared" si="51"/>
        <v>0</v>
      </c>
      <c r="BE210" s="339"/>
      <c r="BF210" s="339"/>
      <c r="BG210" s="339"/>
      <c r="BH210" s="339"/>
      <c r="BI210" s="339"/>
      <c r="BJ210" s="339">
        <f t="shared" si="52"/>
        <v>0</v>
      </c>
      <c r="BL210" s="339"/>
      <c r="BM210" s="339"/>
      <c r="BN210" s="339"/>
      <c r="BO210" s="339"/>
      <c r="BP210" s="339"/>
      <c r="BQ210" s="339">
        <f t="shared" si="53"/>
        <v>0</v>
      </c>
      <c r="BS210" s="339"/>
      <c r="BT210" s="339"/>
      <c r="BU210" s="339"/>
      <c r="BV210" s="339"/>
      <c r="BW210" s="339"/>
      <c r="BX210" s="339">
        <f t="shared" si="54"/>
        <v>0</v>
      </c>
      <c r="BZ210" s="339"/>
      <c r="CA210" s="339"/>
      <c r="CB210" s="339"/>
      <c r="CC210" s="339"/>
      <c r="CD210" s="339"/>
      <c r="CE210" s="339">
        <f t="shared" si="55"/>
        <v>0</v>
      </c>
      <c r="CG210" s="339"/>
      <c r="CH210" s="339"/>
      <c r="CI210" s="339"/>
      <c r="CJ210" s="339"/>
      <c r="CK210" s="339"/>
      <c r="CL210" s="339">
        <f t="shared" si="56"/>
        <v>0</v>
      </c>
      <c r="CN210" s="339"/>
      <c r="CO210" s="339"/>
      <c r="CP210" s="339"/>
      <c r="CQ210" s="339"/>
      <c r="CR210" s="339"/>
      <c r="CS210" s="339">
        <f t="shared" si="57"/>
        <v>0</v>
      </c>
      <c r="CU210" s="339"/>
      <c r="CV210" s="339"/>
      <c r="CW210" s="339"/>
      <c r="CX210" s="339"/>
      <c r="CY210" s="339"/>
      <c r="CZ210" s="339">
        <f t="shared" si="58"/>
        <v>0</v>
      </c>
      <c r="DB210" s="339"/>
      <c r="DC210" s="339"/>
      <c r="DD210" s="339"/>
      <c r="DE210" s="339"/>
      <c r="DF210" s="339"/>
      <c r="DG210" s="339">
        <f t="shared" si="59"/>
        <v>0</v>
      </c>
      <c r="DI210" s="339"/>
      <c r="DJ210" s="339"/>
      <c r="DK210" s="339"/>
      <c r="DL210" s="339"/>
      <c r="DM210" s="339"/>
      <c r="DN210" s="339">
        <f t="shared" si="60"/>
        <v>0</v>
      </c>
    </row>
    <row r="211" spans="1:118">
      <c r="S211" s="412"/>
      <c r="T211" s="412"/>
      <c r="V211" s="339"/>
      <c r="W211" s="339"/>
      <c r="X211" s="339"/>
      <c r="Y211" s="339"/>
      <c r="Z211" s="339"/>
      <c r="AA211" s="339">
        <f t="shared" si="47"/>
        <v>0</v>
      </c>
      <c r="AC211" s="339"/>
      <c r="AD211" s="339"/>
      <c r="AE211" s="339"/>
      <c r="AF211" s="339"/>
      <c r="AG211" s="339"/>
      <c r="AH211" s="339">
        <f t="shared" si="48"/>
        <v>0</v>
      </c>
      <c r="AJ211" s="426"/>
      <c r="AK211" s="426"/>
      <c r="AL211" s="426"/>
      <c r="AM211" s="426"/>
      <c r="AN211" s="426"/>
      <c r="AO211" s="426">
        <f t="shared" si="49"/>
        <v>0</v>
      </c>
      <c r="AQ211" s="339"/>
      <c r="AR211" s="339"/>
      <c r="AS211" s="339"/>
      <c r="AT211" s="339"/>
      <c r="AU211" s="339"/>
      <c r="AV211" s="339">
        <f t="shared" si="50"/>
        <v>0</v>
      </c>
      <c r="AX211" s="339"/>
      <c r="AY211" s="339"/>
      <c r="AZ211" s="339"/>
      <c r="BA211" s="339"/>
      <c r="BB211" s="339"/>
      <c r="BC211" s="339">
        <f t="shared" si="51"/>
        <v>0</v>
      </c>
      <c r="BE211" s="339"/>
      <c r="BF211" s="339"/>
      <c r="BG211" s="339"/>
      <c r="BH211" s="339"/>
      <c r="BI211" s="339"/>
      <c r="BJ211" s="339">
        <f t="shared" si="52"/>
        <v>0</v>
      </c>
      <c r="BL211" s="339"/>
      <c r="BM211" s="339"/>
      <c r="BN211" s="339"/>
      <c r="BO211" s="339"/>
      <c r="BP211" s="339"/>
      <c r="BQ211" s="339">
        <f t="shared" si="53"/>
        <v>0</v>
      </c>
      <c r="BS211" s="339"/>
      <c r="BT211" s="339"/>
      <c r="BU211" s="339"/>
      <c r="BV211" s="339"/>
      <c r="BW211" s="339"/>
      <c r="BX211" s="339">
        <f t="shared" si="54"/>
        <v>0</v>
      </c>
      <c r="BZ211" s="339"/>
      <c r="CA211" s="339"/>
      <c r="CB211" s="339"/>
      <c r="CC211" s="339"/>
      <c r="CD211" s="339"/>
      <c r="CE211" s="339">
        <f t="shared" si="55"/>
        <v>0</v>
      </c>
      <c r="CG211" s="339"/>
      <c r="CH211" s="339"/>
      <c r="CI211" s="339"/>
      <c r="CJ211" s="339"/>
      <c r="CK211" s="339"/>
      <c r="CL211" s="339">
        <f t="shared" si="56"/>
        <v>0</v>
      </c>
      <c r="CN211" s="339"/>
      <c r="CO211" s="339"/>
      <c r="CP211" s="339"/>
      <c r="CQ211" s="339"/>
      <c r="CR211" s="339"/>
      <c r="CS211" s="339">
        <f t="shared" si="57"/>
        <v>0</v>
      </c>
      <c r="CU211" s="339"/>
      <c r="CV211" s="339"/>
      <c r="CW211" s="339"/>
      <c r="CX211" s="339"/>
      <c r="CY211" s="339"/>
      <c r="CZ211" s="339">
        <f t="shared" si="58"/>
        <v>0</v>
      </c>
      <c r="DB211" s="339"/>
      <c r="DC211" s="339"/>
      <c r="DD211" s="339"/>
      <c r="DE211" s="339"/>
      <c r="DF211" s="339"/>
      <c r="DG211" s="339">
        <f t="shared" si="59"/>
        <v>0</v>
      </c>
      <c r="DI211" s="339"/>
      <c r="DJ211" s="339"/>
      <c r="DK211" s="339"/>
      <c r="DL211" s="339"/>
      <c r="DM211" s="339"/>
      <c r="DN211" s="339">
        <f t="shared" si="60"/>
        <v>0</v>
      </c>
    </row>
    <row r="212" spans="1:118" s="402" customFormat="1">
      <c r="A212" s="340"/>
      <c r="B212" s="341"/>
      <c r="C212" s="342"/>
      <c r="D212" s="342"/>
      <c r="E212" s="342"/>
      <c r="F212" s="342"/>
      <c r="G212" s="340"/>
      <c r="H212" s="341"/>
      <c r="I212" s="342"/>
      <c r="J212" s="342"/>
      <c r="K212" s="342"/>
      <c r="L212" s="342"/>
      <c r="M212" s="340"/>
      <c r="N212" s="341"/>
      <c r="O212" s="342"/>
      <c r="P212" s="342"/>
      <c r="Q212" s="342"/>
      <c r="R212" s="342"/>
      <c r="S212" s="338" t="s">
        <v>132</v>
      </c>
      <c r="T212" s="338" t="s">
        <v>133</v>
      </c>
      <c r="U212" s="342">
        <v>3</v>
      </c>
      <c r="V212" s="1512" t="str">
        <f>V101</f>
        <v xml:space="preserve"> - ผนังก่ออิฐมวลเบา (A)</v>
      </c>
      <c r="W212" s="1513"/>
      <c r="X212" s="1513"/>
      <c r="Y212" s="1513"/>
      <c r="Z212" s="1513"/>
      <c r="AA212" s="1514"/>
      <c r="AB212" s="342">
        <f>U212</f>
        <v>3</v>
      </c>
      <c r="AC212" s="1512" t="str">
        <f>AC101</f>
        <v xml:space="preserve"> - ผนังก่ออิฐมอญ ครึ่งแผ่น (B)</v>
      </c>
      <c r="AD212" s="1513"/>
      <c r="AE212" s="1513"/>
      <c r="AF212" s="1513"/>
      <c r="AG212" s="1513"/>
      <c r="AH212" s="1514"/>
      <c r="AI212" s="342">
        <f>AB212</f>
        <v>3</v>
      </c>
      <c r="AJ212" s="1518" t="str">
        <f>AJ101</f>
        <v xml:space="preserve"> - ผนังโครงคร่าวกัลวาไนซ์ปิดทับแผ่นซีเมนต์บอร์ดชนิดกันน้ำ หนา 12 มม. (C)</v>
      </c>
      <c r="AK212" s="1518"/>
      <c r="AL212" s="1518"/>
      <c r="AM212" s="1518"/>
      <c r="AN212" s="1518"/>
      <c r="AO212" s="1518"/>
      <c r="AP212" s="342">
        <f>AI212</f>
        <v>3</v>
      </c>
      <c r="AQ212" s="1512" t="str">
        <f>AQ101</f>
        <v xml:space="preserve"> - ผนังโครงคร่าวกัลวาไนซ์พร้อมติดตั้งฉนวนกันเสียง ปิดทับแผ่นยิปซั่มบอร์ด หนา 12 มม. (D)</v>
      </c>
      <c r="AR212" s="1513"/>
      <c r="AS212" s="1513"/>
      <c r="AT212" s="1513"/>
      <c r="AU212" s="1513"/>
      <c r="AV212" s="1514"/>
      <c r="AW212" s="342">
        <f>AI212</f>
        <v>3</v>
      </c>
      <c r="AX212" s="1512" t="str">
        <f>AX101</f>
        <v>A145 ทาสีภายนอก</v>
      </c>
      <c r="AY212" s="1513"/>
      <c r="AZ212" s="1513"/>
      <c r="BA212" s="1513"/>
      <c r="BB212" s="1513"/>
      <c r="BC212" s="1514"/>
      <c r="BD212" s="342">
        <f>AW212</f>
        <v>3</v>
      </c>
      <c r="BE212" s="1512" t="str">
        <f>BE101</f>
        <v>A2 ทาสีภายใน</v>
      </c>
      <c r="BF212" s="1513"/>
      <c r="BG212" s="1513"/>
      <c r="BH212" s="1513"/>
      <c r="BI212" s="1513"/>
      <c r="BJ212" s="1514"/>
      <c r="BK212" s="342">
        <f>BD212</f>
        <v>3</v>
      </c>
      <c r="BL212" s="1512" t="str">
        <f>BL101</f>
        <v>B145 ทาสีภายนอก</v>
      </c>
      <c r="BM212" s="1513"/>
      <c r="BN212" s="1513"/>
      <c r="BO212" s="1513"/>
      <c r="BP212" s="1513"/>
      <c r="BQ212" s="1514"/>
      <c r="BR212" s="342">
        <f>BK212</f>
        <v>3</v>
      </c>
      <c r="BS212" s="1512" t="str">
        <f>BS101</f>
        <v>B2 ทาสีภายใน</v>
      </c>
      <c r="BT212" s="1513"/>
      <c r="BU212" s="1513"/>
      <c r="BV212" s="1513"/>
      <c r="BW212" s="1513"/>
      <c r="BX212" s="1514"/>
      <c r="BY212" s="342">
        <f>BR212</f>
        <v>3</v>
      </c>
      <c r="BZ212" s="1512" t="str">
        <f>BZ101</f>
        <v>B3 กรุกระเบื้อง</v>
      </c>
      <c r="CA212" s="1513"/>
      <c r="CB212" s="1513"/>
      <c r="CC212" s="1513"/>
      <c r="CD212" s="1513"/>
      <c r="CE212" s="1514"/>
      <c r="CF212" s="342">
        <f>BY212</f>
        <v>3</v>
      </c>
      <c r="CG212" s="1512" t="str">
        <f>CG101</f>
        <v>C145 ทาสีภายนอก</v>
      </c>
      <c r="CH212" s="1513"/>
      <c r="CI212" s="1513"/>
      <c r="CJ212" s="1513"/>
      <c r="CK212" s="1513"/>
      <c r="CL212" s="1514"/>
      <c r="CM212" s="342">
        <f>CF212</f>
        <v>3</v>
      </c>
      <c r="CN212" s="1512" t="str">
        <f>CN101</f>
        <v>C2 ทาสีภายใน</v>
      </c>
      <c r="CO212" s="1513"/>
      <c r="CP212" s="1513"/>
      <c r="CQ212" s="1513"/>
      <c r="CR212" s="1513"/>
      <c r="CS212" s="1514"/>
      <c r="CT212" s="342">
        <f>CM212</f>
        <v>3</v>
      </c>
      <c r="CU212" s="1512" t="str">
        <f>CU101</f>
        <v>D2 ทาสีภายใน</v>
      </c>
      <c r="CV212" s="1513"/>
      <c r="CW212" s="1513"/>
      <c r="CX212" s="1513"/>
      <c r="CY212" s="1513"/>
      <c r="CZ212" s="1514"/>
      <c r="DA212" s="342">
        <f>CT212</f>
        <v>3</v>
      </c>
      <c r="DB212" s="1512" t="str">
        <f>DB101</f>
        <v>E145 ทาสีภายนอก</v>
      </c>
      <c r="DC212" s="1513"/>
      <c r="DD212" s="1513"/>
      <c r="DE212" s="1513"/>
      <c r="DF212" s="1513"/>
      <c r="DG212" s="1514"/>
      <c r="DH212" s="342">
        <f>DA212</f>
        <v>3</v>
      </c>
      <c r="DI212" s="1512" t="str">
        <f>DI101</f>
        <v>E2 ทาสีภายใน</v>
      </c>
      <c r="DJ212" s="1513"/>
      <c r="DK212" s="1513"/>
      <c r="DL212" s="1513"/>
      <c r="DM212" s="1513"/>
      <c r="DN212" s="1514"/>
    </row>
    <row r="213" spans="1:118">
      <c r="S213" s="417"/>
      <c r="T213" s="417"/>
      <c r="V213" s="410">
        <v>29.6</v>
      </c>
      <c r="W213" s="410">
        <v>1</v>
      </c>
      <c r="X213" s="410"/>
      <c r="Y213" s="410"/>
      <c r="Z213" s="410"/>
      <c r="AA213" s="411">
        <f>V213*W213+X213-Z213</f>
        <v>29.6</v>
      </c>
      <c r="AC213" s="410"/>
      <c r="AD213" s="410"/>
      <c r="AE213" s="410"/>
      <c r="AF213" s="410"/>
      <c r="AG213" s="410"/>
      <c r="AH213" s="411">
        <f>AC213*AD213+AE213-AG213</f>
        <v>0</v>
      </c>
      <c r="AJ213" s="409">
        <v>8.65</v>
      </c>
      <c r="AK213" s="339">
        <v>3</v>
      </c>
      <c r="AL213" s="409"/>
      <c r="AM213" s="409" t="s">
        <v>709</v>
      </c>
      <c r="AN213" s="409">
        <f>Q10</f>
        <v>6.5625</v>
      </c>
      <c r="AO213" s="409">
        <f>AJ213*AK213+AL213-AN213</f>
        <v>19.387500000000003</v>
      </c>
      <c r="AQ213" s="410"/>
      <c r="AR213" s="410"/>
      <c r="AS213" s="410"/>
      <c r="AT213" s="410"/>
      <c r="AU213" s="410"/>
      <c r="AV213" s="411">
        <f>AQ213*AR213+AS213-AU213</f>
        <v>0</v>
      </c>
      <c r="AX213" s="410">
        <v>19.100000000000001</v>
      </c>
      <c r="AY213" s="410">
        <v>3.1</v>
      </c>
      <c r="AZ213" s="410"/>
      <c r="BA213" s="410" t="s">
        <v>727</v>
      </c>
      <c r="BB213" s="410">
        <f>K11</f>
        <v>2.2549999999999999</v>
      </c>
      <c r="BC213" s="411">
        <f>AX213*AY213+AZ213-BB213</f>
        <v>56.955000000000005</v>
      </c>
      <c r="BE213" s="410"/>
      <c r="BF213" s="410"/>
      <c r="BG213" s="410"/>
      <c r="BH213" s="410"/>
      <c r="BI213" s="410"/>
      <c r="BJ213" s="411">
        <f>BE213*BF213+BG213-BI213</f>
        <v>0</v>
      </c>
      <c r="BL213" s="410"/>
      <c r="BM213" s="410"/>
      <c r="BN213" s="410"/>
      <c r="BO213" s="410"/>
      <c r="BP213" s="410"/>
      <c r="BQ213" s="411">
        <f>BL213*BM213+BN213-BP213</f>
        <v>0</v>
      </c>
      <c r="BS213" s="410"/>
      <c r="BT213" s="410"/>
      <c r="BU213" s="410"/>
      <c r="BV213" s="410"/>
      <c r="BW213" s="410"/>
      <c r="BX213" s="411">
        <f>BS213*BT213+BU213-BW213</f>
        <v>0</v>
      </c>
      <c r="BZ213" s="410"/>
      <c r="CA213" s="410"/>
      <c r="CB213" s="410"/>
      <c r="CC213" s="410"/>
      <c r="CD213" s="410"/>
      <c r="CE213" s="411">
        <f>BZ213*CA213+CB213-CD213</f>
        <v>0</v>
      </c>
      <c r="CG213" s="410">
        <v>105.9</v>
      </c>
      <c r="CH213" s="410">
        <v>4.9000000000000004</v>
      </c>
      <c r="CI213" s="410"/>
      <c r="CJ213" s="410" t="s">
        <v>753</v>
      </c>
      <c r="CK213" s="410">
        <f>K7*2+Q9+Q10+K10*2+K7+Q9*2+Q10</f>
        <v>50.914999999999999</v>
      </c>
      <c r="CL213" s="411">
        <f>CG213*CH213+CI213-CK213</f>
        <v>467.99500000000006</v>
      </c>
      <c r="CN213" s="410">
        <v>26.25</v>
      </c>
      <c r="CO213" s="410">
        <v>4.9000000000000004</v>
      </c>
      <c r="CP213" s="410"/>
      <c r="CQ213" s="410" t="s">
        <v>754</v>
      </c>
      <c r="CR213" s="410">
        <f>K7*2+Q9+Q10</f>
        <v>21.3125</v>
      </c>
      <c r="CS213" s="411">
        <f>CN213*CO213+CP213-CR213</f>
        <v>107.3125</v>
      </c>
      <c r="CU213" s="410"/>
      <c r="CV213" s="410"/>
      <c r="CW213" s="410"/>
      <c r="CX213" s="410"/>
      <c r="CY213" s="410"/>
      <c r="CZ213" s="411">
        <f>CU213*CV213+CW213-CY213</f>
        <v>0</v>
      </c>
      <c r="DB213" s="410">
        <v>10.050000000000001</v>
      </c>
      <c r="DC213" s="410">
        <v>1.4</v>
      </c>
      <c r="DD213" s="410"/>
      <c r="DE213" s="410"/>
      <c r="DF213" s="410"/>
      <c r="DG213" s="411">
        <f>DB213*DC213+DD213-DF213</f>
        <v>14.07</v>
      </c>
      <c r="DI213" s="410"/>
      <c r="DJ213" s="410"/>
      <c r="DK213" s="410"/>
      <c r="DL213" s="410"/>
      <c r="DM213" s="410"/>
      <c r="DN213" s="411">
        <f>DI213*DJ213+DK213-DM213</f>
        <v>0</v>
      </c>
    </row>
    <row r="214" spans="1:118">
      <c r="S214" s="417"/>
      <c r="T214" s="417"/>
      <c r="V214" s="339">
        <v>39</v>
      </c>
      <c r="W214" s="339">
        <v>1</v>
      </c>
      <c r="X214" s="339"/>
      <c r="Y214" s="339"/>
      <c r="Z214" s="339"/>
      <c r="AA214" s="339">
        <f>V214*W214+X214-Z214</f>
        <v>39</v>
      </c>
      <c r="AC214" s="339"/>
      <c r="AD214" s="339"/>
      <c r="AE214" s="339"/>
      <c r="AF214" s="339"/>
      <c r="AG214" s="339"/>
      <c r="AH214" s="339">
        <f>AC214*AD214+AE214-AG214</f>
        <v>0</v>
      </c>
      <c r="AJ214" s="339">
        <v>8.65</v>
      </c>
      <c r="AK214" s="339">
        <v>3</v>
      </c>
      <c r="AL214" s="339"/>
      <c r="AM214" s="339"/>
      <c r="AN214" s="339"/>
      <c r="AO214" s="339">
        <f>AJ214*AK214+AL214-AN214</f>
        <v>25.950000000000003</v>
      </c>
      <c r="AQ214" s="339"/>
      <c r="AR214" s="339"/>
      <c r="AS214" s="339"/>
      <c r="AT214" s="339"/>
      <c r="AU214" s="339"/>
      <c r="AV214" s="339">
        <f>AQ214*AR214+AS214-AU214</f>
        <v>0</v>
      </c>
      <c r="AX214" s="339">
        <v>17.5</v>
      </c>
      <c r="AY214" s="339">
        <v>3.1</v>
      </c>
      <c r="AZ214" s="339"/>
      <c r="BA214" s="339" t="s">
        <v>727</v>
      </c>
      <c r="BB214" s="339">
        <f>K11</f>
        <v>2.2549999999999999</v>
      </c>
      <c r="BC214" s="339">
        <f>AX214*AY214+AZ214-BB214</f>
        <v>51.994999999999997</v>
      </c>
      <c r="BE214" s="339"/>
      <c r="BF214" s="339"/>
      <c r="BG214" s="339"/>
      <c r="BH214" s="339"/>
      <c r="BI214" s="339"/>
      <c r="BJ214" s="339">
        <f>BE214*BF214+BG214-BI214</f>
        <v>0</v>
      </c>
      <c r="BL214" s="339"/>
      <c r="BM214" s="339"/>
      <c r="BN214" s="339"/>
      <c r="BO214" s="339"/>
      <c r="BP214" s="339"/>
      <c r="BQ214" s="339">
        <f>BL214*BM214+BN214-BP214</f>
        <v>0</v>
      </c>
      <c r="BS214" s="339"/>
      <c r="BT214" s="339"/>
      <c r="BU214" s="339"/>
      <c r="BV214" s="339"/>
      <c r="BW214" s="339"/>
      <c r="BX214" s="339">
        <f>BS214*BT214+BU214-BW214</f>
        <v>0</v>
      </c>
      <c r="BZ214" s="339"/>
      <c r="CA214" s="339"/>
      <c r="CB214" s="339"/>
      <c r="CC214" s="339"/>
      <c r="CD214" s="339"/>
      <c r="CE214" s="339">
        <f>BZ214*CA214+CB214-CD214</f>
        <v>0</v>
      </c>
      <c r="CG214" s="339"/>
      <c r="CH214" s="339"/>
      <c r="CI214" s="339"/>
      <c r="CJ214" s="339"/>
      <c r="CK214" s="339"/>
      <c r="CL214" s="339">
        <f>CG214*CH214+CI214-CK214</f>
        <v>0</v>
      </c>
      <c r="CN214" s="339">
        <v>52.6</v>
      </c>
      <c r="CO214" s="339">
        <v>4.9000000000000004</v>
      </c>
      <c r="CP214" s="339"/>
      <c r="CQ214" s="339" t="s">
        <v>755</v>
      </c>
      <c r="CR214" s="339">
        <f>K7+Q9+Q9+Q10</f>
        <v>21.8125</v>
      </c>
      <c r="CS214" s="339">
        <f>CN214*CO214+CP214-CR214</f>
        <v>235.92750000000001</v>
      </c>
      <c r="CU214" s="339"/>
      <c r="CV214" s="339"/>
      <c r="CW214" s="339"/>
      <c r="CX214" s="339"/>
      <c r="CY214" s="339"/>
      <c r="CZ214" s="339">
        <f>CU214*CV214+CW214-CY214</f>
        <v>0</v>
      </c>
      <c r="DB214" s="339">
        <v>10.050000000000001</v>
      </c>
      <c r="DC214" s="339">
        <v>1.4</v>
      </c>
      <c r="DD214" s="339"/>
      <c r="DE214" s="339"/>
      <c r="DF214" s="339"/>
      <c r="DG214" s="339">
        <f>DB214*DC214+DD214-DF214</f>
        <v>14.07</v>
      </c>
      <c r="DI214" s="339"/>
      <c r="DJ214" s="339"/>
      <c r="DK214" s="339"/>
      <c r="DL214" s="339"/>
      <c r="DM214" s="339"/>
      <c r="DN214" s="339">
        <f>DI214*DJ214+DK214-DM214</f>
        <v>0</v>
      </c>
    </row>
    <row r="215" spans="1:118">
      <c r="S215" s="417"/>
      <c r="T215" s="417"/>
      <c r="V215" s="339">
        <v>22.7</v>
      </c>
      <c r="W215" s="339">
        <v>1</v>
      </c>
      <c r="X215" s="339"/>
      <c r="Y215" s="339"/>
      <c r="Z215" s="339"/>
      <c r="AA215" s="339">
        <f t="shared" ref="AA215:AA262" si="109">V215*W215+X215-Z215</f>
        <v>22.7</v>
      </c>
      <c r="AC215" s="339"/>
      <c r="AD215" s="339"/>
      <c r="AE215" s="339"/>
      <c r="AF215" s="339"/>
      <c r="AG215" s="339"/>
      <c r="AH215" s="339">
        <f t="shared" ref="AH215:AH262" si="110">AC215*AD215+AE215-AG215</f>
        <v>0</v>
      </c>
      <c r="AJ215" s="339">
        <v>5.7</v>
      </c>
      <c r="AK215" s="339">
        <v>3</v>
      </c>
      <c r="AL215" s="339"/>
      <c r="AM215" s="339"/>
      <c r="AN215" s="339"/>
      <c r="AO215" s="339">
        <f t="shared" ref="AO215:AO262" si="111">AJ215*AK215+AL215-AN215</f>
        <v>17.100000000000001</v>
      </c>
      <c r="AQ215" s="339"/>
      <c r="AR215" s="339"/>
      <c r="AS215" s="339"/>
      <c r="AT215" s="339"/>
      <c r="AU215" s="339"/>
      <c r="AV215" s="339">
        <f t="shared" ref="AV215:AV262" si="112">AQ215*AR215+AS215-AU215</f>
        <v>0</v>
      </c>
      <c r="AX215" s="339">
        <v>38.975000000000001</v>
      </c>
      <c r="AY215" s="339">
        <v>1</v>
      </c>
      <c r="AZ215" s="339"/>
      <c r="BA215" s="339"/>
      <c r="BB215" s="339"/>
      <c r="BC215" s="339">
        <f t="shared" ref="BC215:BC262" si="113">AX215*AY215+AZ215-BB215</f>
        <v>38.975000000000001</v>
      </c>
      <c r="BE215" s="339"/>
      <c r="BF215" s="339"/>
      <c r="BG215" s="339"/>
      <c r="BH215" s="339"/>
      <c r="BI215" s="339"/>
      <c r="BJ215" s="339">
        <f t="shared" ref="BJ215:BJ262" si="114">BE215*BF215+BG215-BI215</f>
        <v>0</v>
      </c>
      <c r="BL215" s="339"/>
      <c r="BM215" s="339"/>
      <c r="BN215" s="339"/>
      <c r="BO215" s="339"/>
      <c r="BP215" s="339"/>
      <c r="BQ215" s="339">
        <f t="shared" ref="BQ215:BQ262" si="115">BL215*BM215+BN215-BP215</f>
        <v>0</v>
      </c>
      <c r="BS215" s="339"/>
      <c r="BT215" s="339"/>
      <c r="BU215" s="339"/>
      <c r="BV215" s="339"/>
      <c r="BW215" s="339"/>
      <c r="BX215" s="339">
        <f t="shared" ref="BX215:BX262" si="116">BS215*BT215+BU215-BW215</f>
        <v>0</v>
      </c>
      <c r="BZ215" s="339"/>
      <c r="CA215" s="339"/>
      <c r="CB215" s="339"/>
      <c r="CC215" s="339"/>
      <c r="CD215" s="339"/>
      <c r="CE215" s="339">
        <f t="shared" ref="CE215:CE262" si="117">BZ215*CA215+CB215-CD215</f>
        <v>0</v>
      </c>
      <c r="CG215" s="339">
        <v>31.95</v>
      </c>
      <c r="CH215" s="339">
        <v>1.9</v>
      </c>
      <c r="CI215" s="339"/>
      <c r="CJ215" s="339"/>
      <c r="CK215" s="339"/>
      <c r="CL215" s="339">
        <f t="shared" ref="CL215:CL262" si="118">CG215*CH215+CI215-CK215</f>
        <v>60.704999999999998</v>
      </c>
      <c r="CN215" s="339"/>
      <c r="CO215" s="339"/>
      <c r="CP215" s="339"/>
      <c r="CQ215" s="339"/>
      <c r="CR215" s="339"/>
      <c r="CS215" s="339">
        <f t="shared" ref="CS215:CS262" si="119">CN215*CO215+CP215-CR215</f>
        <v>0</v>
      </c>
      <c r="CU215" s="339"/>
      <c r="CV215" s="339"/>
      <c r="CW215" s="339"/>
      <c r="CX215" s="339"/>
      <c r="CY215" s="339"/>
      <c r="CZ215" s="339">
        <f t="shared" ref="CZ215:CZ262" si="120">CU215*CV215+CW215-CY215</f>
        <v>0</v>
      </c>
      <c r="DB215" s="339">
        <v>22.36</v>
      </c>
      <c r="DC215" s="339">
        <v>1.4</v>
      </c>
      <c r="DD215" s="339"/>
      <c r="DE215" s="339"/>
      <c r="DF215" s="339"/>
      <c r="DG215" s="339">
        <f t="shared" ref="DG215:DG262" si="121">DB215*DC215+DD215-DF215</f>
        <v>31.303999999999998</v>
      </c>
      <c r="DI215" s="339"/>
      <c r="DJ215" s="339"/>
      <c r="DK215" s="339"/>
      <c r="DL215" s="339"/>
      <c r="DM215" s="339"/>
      <c r="DN215" s="339">
        <f t="shared" ref="DN215:DN262" si="122">DI215*DJ215+DK215-DM215</f>
        <v>0</v>
      </c>
    </row>
    <row r="216" spans="1:118">
      <c r="S216" s="417"/>
      <c r="T216" s="417"/>
      <c r="V216" s="339">
        <v>3.3</v>
      </c>
      <c r="W216" s="339">
        <v>4.18</v>
      </c>
      <c r="X216" s="339"/>
      <c r="Y216" s="339"/>
      <c r="Z216" s="339"/>
      <c r="AA216" s="339">
        <f t="shared" si="109"/>
        <v>13.793999999999999</v>
      </c>
      <c r="AC216" s="339"/>
      <c r="AD216" s="339"/>
      <c r="AE216" s="339"/>
      <c r="AF216" s="339"/>
      <c r="AG216" s="339"/>
      <c r="AH216" s="339">
        <f t="shared" si="110"/>
        <v>0</v>
      </c>
      <c r="AJ216" s="339">
        <v>5.7</v>
      </c>
      <c r="AK216" s="339">
        <v>3</v>
      </c>
      <c r="AL216" s="339"/>
      <c r="AM216" s="339" t="s">
        <v>728</v>
      </c>
      <c r="AN216" s="339">
        <f>K7</f>
        <v>4.75</v>
      </c>
      <c r="AO216" s="339">
        <f t="shared" si="111"/>
        <v>12.350000000000001</v>
      </c>
      <c r="AQ216" s="339"/>
      <c r="AR216" s="339"/>
      <c r="AS216" s="339"/>
      <c r="AT216" s="339"/>
      <c r="AU216" s="339"/>
      <c r="AV216" s="339">
        <f t="shared" si="112"/>
        <v>0</v>
      </c>
      <c r="AX216" s="339">
        <v>38.774999999999999</v>
      </c>
      <c r="AY216" s="339">
        <v>1</v>
      </c>
      <c r="AZ216" s="339"/>
      <c r="BA216" s="339"/>
      <c r="BB216" s="339"/>
      <c r="BC216" s="339">
        <f t="shared" si="113"/>
        <v>38.774999999999999</v>
      </c>
      <c r="BE216" s="339"/>
      <c r="BF216" s="339"/>
      <c r="BG216" s="339"/>
      <c r="BH216" s="339"/>
      <c r="BI216" s="339"/>
      <c r="BJ216" s="339">
        <f t="shared" si="114"/>
        <v>0</v>
      </c>
      <c r="BL216" s="339"/>
      <c r="BM216" s="339"/>
      <c r="BN216" s="339"/>
      <c r="BO216" s="339"/>
      <c r="BP216" s="339"/>
      <c r="BQ216" s="339">
        <f t="shared" si="115"/>
        <v>0</v>
      </c>
      <c r="BS216" s="339"/>
      <c r="BT216" s="339"/>
      <c r="BU216" s="339"/>
      <c r="BV216" s="339"/>
      <c r="BW216" s="339"/>
      <c r="BX216" s="339">
        <f t="shared" si="116"/>
        <v>0</v>
      </c>
      <c r="BZ216" s="339"/>
      <c r="CA216" s="339"/>
      <c r="CB216" s="339"/>
      <c r="CC216" s="339"/>
      <c r="CD216" s="339"/>
      <c r="CE216" s="339">
        <f t="shared" si="117"/>
        <v>0</v>
      </c>
      <c r="CG216" s="339">
        <v>31.65</v>
      </c>
      <c r="CH216" s="339">
        <v>1.9</v>
      </c>
      <c r="CI216" s="339"/>
      <c r="CJ216" s="339"/>
      <c r="CK216" s="339"/>
      <c r="CL216" s="339">
        <f t="shared" si="118"/>
        <v>60.134999999999998</v>
      </c>
      <c r="CN216" s="339"/>
      <c r="CO216" s="339"/>
      <c r="CP216" s="339"/>
      <c r="CQ216" s="339"/>
      <c r="CR216" s="339"/>
      <c r="CS216" s="339">
        <f t="shared" si="119"/>
        <v>0</v>
      </c>
      <c r="CU216" s="339"/>
      <c r="CV216" s="339"/>
      <c r="CW216" s="339"/>
      <c r="CX216" s="339"/>
      <c r="CY216" s="339"/>
      <c r="CZ216" s="339">
        <f t="shared" si="120"/>
        <v>0</v>
      </c>
      <c r="DB216" s="339">
        <v>22.76</v>
      </c>
      <c r="DC216" s="339">
        <v>1.4</v>
      </c>
      <c r="DD216" s="339"/>
      <c r="DE216" s="339"/>
      <c r="DF216" s="339"/>
      <c r="DG216" s="339">
        <f t="shared" si="121"/>
        <v>31.864000000000001</v>
      </c>
      <c r="DI216" s="339"/>
      <c r="DJ216" s="339"/>
      <c r="DK216" s="339"/>
      <c r="DL216" s="339"/>
      <c r="DM216" s="339"/>
      <c r="DN216" s="339">
        <f t="shared" si="122"/>
        <v>0</v>
      </c>
    </row>
    <row r="217" spans="1:118">
      <c r="S217" s="417"/>
      <c r="T217" s="417"/>
      <c r="V217" s="339">
        <v>1.95</v>
      </c>
      <c r="W217" s="339">
        <v>2.35</v>
      </c>
      <c r="X217" s="339"/>
      <c r="Y217" s="339"/>
      <c r="Z217" s="339"/>
      <c r="AA217" s="339">
        <f t="shared" si="109"/>
        <v>4.5825000000000005</v>
      </c>
      <c r="AC217" s="339"/>
      <c r="AD217" s="339"/>
      <c r="AE217" s="339"/>
      <c r="AF217" s="339"/>
      <c r="AG217" s="339"/>
      <c r="AH217" s="339">
        <f t="shared" si="110"/>
        <v>0</v>
      </c>
      <c r="AJ217" s="339">
        <v>7.7</v>
      </c>
      <c r="AK217" s="339">
        <v>3</v>
      </c>
      <c r="AL217" s="339"/>
      <c r="AM217" s="339"/>
      <c r="AN217" s="339"/>
      <c r="AO217" s="339">
        <f t="shared" si="111"/>
        <v>23.1</v>
      </c>
      <c r="AQ217" s="339"/>
      <c r="AR217" s="339"/>
      <c r="AS217" s="339"/>
      <c r="AT217" s="339"/>
      <c r="AU217" s="339"/>
      <c r="AV217" s="339">
        <f t="shared" si="112"/>
        <v>0</v>
      </c>
      <c r="AX217" s="339">
        <v>29.524999999999999</v>
      </c>
      <c r="AY217" s="339">
        <v>1</v>
      </c>
      <c r="AZ217" s="339"/>
      <c r="BA217" s="339"/>
      <c r="BB217" s="339"/>
      <c r="BC217" s="339">
        <f t="shared" si="113"/>
        <v>29.524999999999999</v>
      </c>
      <c r="BE217" s="339"/>
      <c r="BF217" s="339"/>
      <c r="BG217" s="339"/>
      <c r="BH217" s="339"/>
      <c r="BI217" s="339"/>
      <c r="BJ217" s="339">
        <f t="shared" si="114"/>
        <v>0</v>
      </c>
      <c r="BL217" s="339"/>
      <c r="BM217" s="339"/>
      <c r="BN217" s="339"/>
      <c r="BO217" s="339"/>
      <c r="BP217" s="339"/>
      <c r="BQ217" s="339">
        <f t="shared" si="115"/>
        <v>0</v>
      </c>
      <c r="BS217" s="339"/>
      <c r="BT217" s="339"/>
      <c r="BU217" s="339"/>
      <c r="BV217" s="339"/>
      <c r="BW217" s="339"/>
      <c r="BX217" s="339">
        <f t="shared" si="116"/>
        <v>0</v>
      </c>
      <c r="BZ217" s="339"/>
      <c r="CA217" s="339"/>
      <c r="CB217" s="339"/>
      <c r="CC217" s="339"/>
      <c r="CD217" s="339"/>
      <c r="CE217" s="339">
        <f t="shared" si="117"/>
        <v>0</v>
      </c>
      <c r="CG217" s="339">
        <v>21.95</v>
      </c>
      <c r="CH217" s="339">
        <v>1.9</v>
      </c>
      <c r="CI217" s="339"/>
      <c r="CJ217" s="339"/>
      <c r="CK217" s="339"/>
      <c r="CL217" s="339">
        <f t="shared" si="118"/>
        <v>41.704999999999998</v>
      </c>
      <c r="CN217" s="339"/>
      <c r="CO217" s="339"/>
      <c r="CP217" s="339"/>
      <c r="CQ217" s="339"/>
      <c r="CR217" s="339"/>
      <c r="CS217" s="339">
        <f t="shared" si="119"/>
        <v>0</v>
      </c>
      <c r="CU217" s="339"/>
      <c r="CV217" s="339"/>
      <c r="CW217" s="339"/>
      <c r="CX217" s="339"/>
      <c r="CY217" s="339"/>
      <c r="CZ217" s="339">
        <f t="shared" si="120"/>
        <v>0</v>
      </c>
      <c r="DB217" s="339">
        <v>14.5</v>
      </c>
      <c r="DC217" s="339">
        <v>4.7</v>
      </c>
      <c r="DD217" s="339"/>
      <c r="DE217" s="339"/>
      <c r="DF217" s="339"/>
      <c r="DG217" s="339">
        <f t="shared" si="121"/>
        <v>68.150000000000006</v>
      </c>
      <c r="DI217" s="339"/>
      <c r="DJ217" s="339"/>
      <c r="DK217" s="339"/>
      <c r="DL217" s="339"/>
      <c r="DM217" s="339"/>
      <c r="DN217" s="339">
        <f t="shared" si="122"/>
        <v>0</v>
      </c>
    </row>
    <row r="218" spans="1:118">
      <c r="S218" s="417"/>
      <c r="T218" s="417"/>
      <c r="V218" s="339">
        <v>1.95</v>
      </c>
      <c r="W218" s="339">
        <v>2.35</v>
      </c>
      <c r="X218" s="339"/>
      <c r="Y218" s="339"/>
      <c r="Z218" s="339"/>
      <c r="AA218" s="339">
        <f t="shared" si="109"/>
        <v>4.5825000000000005</v>
      </c>
      <c r="AC218" s="339"/>
      <c r="AD218" s="339"/>
      <c r="AE218" s="339"/>
      <c r="AF218" s="339"/>
      <c r="AG218" s="339"/>
      <c r="AH218" s="339">
        <f t="shared" si="110"/>
        <v>0</v>
      </c>
      <c r="AJ218" s="339">
        <v>7.7</v>
      </c>
      <c r="AK218" s="339">
        <v>3</v>
      </c>
      <c r="AL218" s="339"/>
      <c r="AM218" s="339" t="s">
        <v>728</v>
      </c>
      <c r="AN218" s="339">
        <f>K7</f>
        <v>4.75</v>
      </c>
      <c r="AO218" s="339">
        <f t="shared" si="111"/>
        <v>18.350000000000001</v>
      </c>
      <c r="AQ218" s="339"/>
      <c r="AR218" s="339"/>
      <c r="AS218" s="339"/>
      <c r="AT218" s="339"/>
      <c r="AU218" s="339"/>
      <c r="AV218" s="339">
        <f t="shared" si="112"/>
        <v>0</v>
      </c>
      <c r="AX218" s="339">
        <v>29.324999999999999</v>
      </c>
      <c r="AY218" s="339">
        <v>1</v>
      </c>
      <c r="AZ218" s="339"/>
      <c r="BA218" s="339"/>
      <c r="BB218" s="339"/>
      <c r="BC218" s="339">
        <f t="shared" si="113"/>
        <v>29.324999999999999</v>
      </c>
      <c r="BE218" s="339"/>
      <c r="BF218" s="339"/>
      <c r="BG218" s="339"/>
      <c r="BH218" s="339"/>
      <c r="BI218" s="339"/>
      <c r="BJ218" s="339">
        <f t="shared" si="114"/>
        <v>0</v>
      </c>
      <c r="BL218" s="339"/>
      <c r="BM218" s="339"/>
      <c r="BN218" s="339"/>
      <c r="BO218" s="339"/>
      <c r="BP218" s="339"/>
      <c r="BQ218" s="339">
        <f t="shared" si="115"/>
        <v>0</v>
      </c>
      <c r="BS218" s="339"/>
      <c r="BT218" s="339"/>
      <c r="BU218" s="339"/>
      <c r="BV218" s="339"/>
      <c r="BW218" s="339"/>
      <c r="BX218" s="339">
        <f t="shared" si="116"/>
        <v>0</v>
      </c>
      <c r="BZ218" s="339"/>
      <c r="CA218" s="339"/>
      <c r="CB218" s="339"/>
      <c r="CC218" s="339"/>
      <c r="CD218" s="339"/>
      <c r="CE218" s="339">
        <f t="shared" si="117"/>
        <v>0</v>
      </c>
      <c r="CG218" s="339">
        <v>21.65</v>
      </c>
      <c r="CH218" s="339">
        <v>1.9</v>
      </c>
      <c r="CI218" s="339"/>
      <c r="CJ218" s="339"/>
      <c r="CK218" s="339"/>
      <c r="CL218" s="339">
        <f t="shared" si="118"/>
        <v>41.134999999999998</v>
      </c>
      <c r="CN218" s="339"/>
      <c r="CO218" s="339"/>
      <c r="CP218" s="339"/>
      <c r="CQ218" s="339"/>
      <c r="CR218" s="339"/>
      <c r="CS218" s="339">
        <f t="shared" si="119"/>
        <v>0</v>
      </c>
      <c r="CU218" s="339"/>
      <c r="CV218" s="339"/>
      <c r="CW218" s="339"/>
      <c r="CX218" s="339"/>
      <c r="CY218" s="339"/>
      <c r="CZ218" s="339">
        <f t="shared" si="120"/>
        <v>0</v>
      </c>
      <c r="DB218" s="339"/>
      <c r="DC218" s="339"/>
      <c r="DD218" s="339"/>
      <c r="DE218" s="339"/>
      <c r="DF218" s="339"/>
      <c r="DG218" s="339">
        <f t="shared" si="121"/>
        <v>0</v>
      </c>
      <c r="DI218" s="339"/>
      <c r="DJ218" s="339"/>
      <c r="DK218" s="339"/>
      <c r="DL218" s="339"/>
      <c r="DM218" s="339"/>
      <c r="DN218" s="339">
        <f t="shared" si="122"/>
        <v>0</v>
      </c>
    </row>
    <row r="219" spans="1:118">
      <c r="S219" s="417"/>
      <c r="T219" s="417"/>
      <c r="V219" s="339">
        <v>1.95</v>
      </c>
      <c r="W219" s="339">
        <v>2.35</v>
      </c>
      <c r="X219" s="339"/>
      <c r="Y219" s="339"/>
      <c r="Z219" s="339"/>
      <c r="AA219" s="339">
        <f t="shared" si="109"/>
        <v>4.5825000000000005</v>
      </c>
      <c r="AC219" s="339"/>
      <c r="AD219" s="339"/>
      <c r="AE219" s="339"/>
      <c r="AF219" s="339"/>
      <c r="AG219" s="339"/>
      <c r="AH219" s="339">
        <f t="shared" si="110"/>
        <v>0</v>
      </c>
      <c r="AJ219" s="339">
        <v>8.65</v>
      </c>
      <c r="AK219" s="339">
        <v>3</v>
      </c>
      <c r="AL219" s="339"/>
      <c r="AM219" s="339"/>
      <c r="AN219" s="339"/>
      <c r="AO219" s="339">
        <f t="shared" si="111"/>
        <v>25.950000000000003</v>
      </c>
      <c r="AQ219" s="339"/>
      <c r="AR219" s="339"/>
      <c r="AS219" s="339"/>
      <c r="AT219" s="339"/>
      <c r="AU219" s="339"/>
      <c r="AV219" s="339">
        <f t="shared" si="112"/>
        <v>0</v>
      </c>
      <c r="AX219" s="339">
        <v>22.7</v>
      </c>
      <c r="AY219" s="339">
        <v>1</v>
      </c>
      <c r="AZ219" s="339"/>
      <c r="BA219" s="339"/>
      <c r="BB219" s="339"/>
      <c r="BC219" s="339">
        <f t="shared" si="113"/>
        <v>22.7</v>
      </c>
      <c r="BE219" s="339"/>
      <c r="BF219" s="339"/>
      <c r="BG219" s="339"/>
      <c r="BH219" s="339"/>
      <c r="BI219" s="339"/>
      <c r="BJ219" s="339">
        <f t="shared" si="114"/>
        <v>0</v>
      </c>
      <c r="BL219" s="339"/>
      <c r="BM219" s="339"/>
      <c r="BN219" s="339"/>
      <c r="BO219" s="339"/>
      <c r="BP219" s="339"/>
      <c r="BQ219" s="339">
        <f t="shared" si="115"/>
        <v>0</v>
      </c>
      <c r="BS219" s="339"/>
      <c r="BT219" s="339"/>
      <c r="BU219" s="339"/>
      <c r="BV219" s="339"/>
      <c r="BW219" s="339"/>
      <c r="BX219" s="339">
        <f t="shared" si="116"/>
        <v>0</v>
      </c>
      <c r="BZ219" s="339"/>
      <c r="CA219" s="339"/>
      <c r="CB219" s="339"/>
      <c r="CC219" s="339"/>
      <c r="CD219" s="339"/>
      <c r="CE219" s="339">
        <f t="shared" si="117"/>
        <v>0</v>
      </c>
      <c r="CG219" s="339"/>
      <c r="CH219" s="339"/>
      <c r="CI219" s="339"/>
      <c r="CJ219" s="339"/>
      <c r="CK219" s="339"/>
      <c r="CL219" s="339">
        <f t="shared" si="118"/>
        <v>0</v>
      </c>
      <c r="CN219" s="339"/>
      <c r="CO219" s="339"/>
      <c r="CP219" s="339"/>
      <c r="CQ219" s="339"/>
      <c r="CR219" s="339"/>
      <c r="CS219" s="339">
        <f t="shared" si="119"/>
        <v>0</v>
      </c>
      <c r="CU219" s="339"/>
      <c r="CV219" s="339"/>
      <c r="CW219" s="339"/>
      <c r="CX219" s="339"/>
      <c r="CY219" s="339"/>
      <c r="CZ219" s="339">
        <f t="shared" si="120"/>
        <v>0</v>
      </c>
      <c r="DA219" s="427" t="s">
        <v>760</v>
      </c>
      <c r="DB219" s="339">
        <v>13.9</v>
      </c>
      <c r="DC219" s="339">
        <v>3.9</v>
      </c>
      <c r="DD219" s="339"/>
      <c r="DE219" s="339"/>
      <c r="DF219" s="339"/>
      <c r="DG219" s="339">
        <f t="shared" si="121"/>
        <v>54.21</v>
      </c>
      <c r="DI219" s="339"/>
      <c r="DJ219" s="339"/>
      <c r="DK219" s="339"/>
      <c r="DL219" s="339"/>
      <c r="DM219" s="339"/>
      <c r="DN219" s="339">
        <f t="shared" si="122"/>
        <v>0</v>
      </c>
    </row>
    <row r="220" spans="1:118">
      <c r="S220" s="417"/>
      <c r="T220" s="417"/>
      <c r="V220" s="339">
        <v>1.95</v>
      </c>
      <c r="W220" s="339">
        <v>2.35</v>
      </c>
      <c r="X220" s="339"/>
      <c r="Y220" s="339"/>
      <c r="Z220" s="339"/>
      <c r="AA220" s="339">
        <f t="shared" si="109"/>
        <v>4.5825000000000005</v>
      </c>
      <c r="AC220" s="339"/>
      <c r="AD220" s="339"/>
      <c r="AE220" s="339"/>
      <c r="AF220" s="339"/>
      <c r="AG220" s="339"/>
      <c r="AH220" s="339">
        <f t="shared" si="110"/>
        <v>0</v>
      </c>
      <c r="AJ220" s="339">
        <v>8.65</v>
      </c>
      <c r="AK220" s="339">
        <v>3</v>
      </c>
      <c r="AL220" s="339"/>
      <c r="AM220" s="339" t="s">
        <v>709</v>
      </c>
      <c r="AN220" s="339">
        <f>Q10</f>
        <v>6.5625</v>
      </c>
      <c r="AO220" s="339">
        <f t="shared" si="111"/>
        <v>19.387500000000003</v>
      </c>
      <c r="AQ220" s="339"/>
      <c r="AR220" s="339"/>
      <c r="AS220" s="339"/>
      <c r="AT220" s="339"/>
      <c r="AU220" s="339"/>
      <c r="AV220" s="339">
        <f t="shared" si="112"/>
        <v>0</v>
      </c>
      <c r="AX220" s="339">
        <v>22.3</v>
      </c>
      <c r="AY220" s="339">
        <v>1</v>
      </c>
      <c r="AZ220" s="339"/>
      <c r="BA220" s="339"/>
      <c r="BB220" s="339"/>
      <c r="BC220" s="339">
        <f t="shared" si="113"/>
        <v>22.3</v>
      </c>
      <c r="BE220" s="339"/>
      <c r="BF220" s="339"/>
      <c r="BG220" s="339"/>
      <c r="BH220" s="339"/>
      <c r="BI220" s="339"/>
      <c r="BJ220" s="339">
        <f t="shared" si="114"/>
        <v>0</v>
      </c>
      <c r="BL220" s="339"/>
      <c r="BM220" s="339"/>
      <c r="BN220" s="339"/>
      <c r="BO220" s="339"/>
      <c r="BP220" s="339"/>
      <c r="BQ220" s="339">
        <f t="shared" si="115"/>
        <v>0</v>
      </c>
      <c r="BS220" s="339"/>
      <c r="BT220" s="339"/>
      <c r="BU220" s="339"/>
      <c r="BV220" s="339"/>
      <c r="BW220" s="339"/>
      <c r="BX220" s="339">
        <f t="shared" si="116"/>
        <v>0</v>
      </c>
      <c r="BZ220" s="339"/>
      <c r="CA220" s="339"/>
      <c r="CB220" s="339"/>
      <c r="CC220" s="339"/>
      <c r="CD220" s="339"/>
      <c r="CE220" s="339">
        <f t="shared" si="117"/>
        <v>0</v>
      </c>
      <c r="CG220" s="339"/>
      <c r="CH220" s="339"/>
      <c r="CI220" s="339"/>
      <c r="CJ220" s="339"/>
      <c r="CK220" s="339"/>
      <c r="CL220" s="339">
        <f t="shared" si="118"/>
        <v>0</v>
      </c>
      <c r="CN220" s="339"/>
      <c r="CO220" s="339"/>
      <c r="CP220" s="339"/>
      <c r="CQ220" s="339"/>
      <c r="CR220" s="339"/>
      <c r="CS220" s="339">
        <f t="shared" si="119"/>
        <v>0</v>
      </c>
      <c r="CU220" s="339"/>
      <c r="CV220" s="339"/>
      <c r="CW220" s="339"/>
      <c r="CX220" s="339"/>
      <c r="CY220" s="339"/>
      <c r="CZ220" s="339">
        <f t="shared" si="120"/>
        <v>0</v>
      </c>
      <c r="DB220" s="339"/>
      <c r="DC220" s="339"/>
      <c r="DD220" s="339"/>
      <c r="DE220" s="339"/>
      <c r="DF220" s="339"/>
      <c r="DG220" s="339">
        <f t="shared" si="121"/>
        <v>0</v>
      </c>
      <c r="DI220" s="339"/>
      <c r="DJ220" s="339"/>
      <c r="DK220" s="339"/>
      <c r="DL220" s="339"/>
      <c r="DM220" s="339"/>
      <c r="DN220" s="339">
        <f t="shared" si="122"/>
        <v>0</v>
      </c>
    </row>
    <row r="221" spans="1:118">
      <c r="S221" s="417"/>
      <c r="T221" s="417"/>
      <c r="V221" s="339">
        <v>3.7</v>
      </c>
      <c r="W221" s="339">
        <v>2.35</v>
      </c>
      <c r="X221" s="339"/>
      <c r="Y221" s="339"/>
      <c r="Z221" s="339"/>
      <c r="AA221" s="339">
        <f t="shared" si="109"/>
        <v>8.6950000000000003</v>
      </c>
      <c r="AC221" s="339"/>
      <c r="AD221" s="339"/>
      <c r="AE221" s="339"/>
      <c r="AF221" s="339"/>
      <c r="AG221" s="339"/>
      <c r="AH221" s="339">
        <f t="shared" si="110"/>
        <v>0</v>
      </c>
      <c r="AJ221" s="339">
        <v>7.7</v>
      </c>
      <c r="AK221" s="339">
        <v>3</v>
      </c>
      <c r="AL221" s="339"/>
      <c r="AM221" s="339"/>
      <c r="AN221" s="339"/>
      <c r="AO221" s="339">
        <f t="shared" si="111"/>
        <v>23.1</v>
      </c>
      <c r="AQ221" s="339"/>
      <c r="AR221" s="339"/>
      <c r="AS221" s="339"/>
      <c r="AT221" s="339"/>
      <c r="AU221" s="339"/>
      <c r="AV221" s="339">
        <f t="shared" si="112"/>
        <v>0</v>
      </c>
      <c r="AX221" s="339"/>
      <c r="AY221" s="339"/>
      <c r="AZ221" s="339"/>
      <c r="BA221" s="339"/>
      <c r="BB221" s="339"/>
      <c r="BC221" s="339">
        <f t="shared" si="113"/>
        <v>0</v>
      </c>
      <c r="BE221" s="339"/>
      <c r="BF221" s="339"/>
      <c r="BG221" s="339"/>
      <c r="BH221" s="339"/>
      <c r="BI221" s="339"/>
      <c r="BJ221" s="339">
        <f t="shared" si="114"/>
        <v>0</v>
      </c>
      <c r="BL221" s="339"/>
      <c r="BM221" s="339"/>
      <c r="BN221" s="339"/>
      <c r="BO221" s="339"/>
      <c r="BP221" s="339"/>
      <c r="BQ221" s="339">
        <f t="shared" si="115"/>
        <v>0</v>
      </c>
      <c r="BS221" s="339"/>
      <c r="BT221" s="339"/>
      <c r="BU221" s="339"/>
      <c r="BV221" s="339"/>
      <c r="BW221" s="339"/>
      <c r="BX221" s="339">
        <f t="shared" si="116"/>
        <v>0</v>
      </c>
      <c r="BZ221" s="339"/>
      <c r="CA221" s="339"/>
      <c r="CB221" s="339"/>
      <c r="CC221" s="339"/>
      <c r="CD221" s="339"/>
      <c r="CE221" s="339">
        <f t="shared" si="117"/>
        <v>0</v>
      </c>
      <c r="CG221" s="339"/>
      <c r="CH221" s="339"/>
      <c r="CI221" s="339"/>
      <c r="CJ221" s="339"/>
      <c r="CK221" s="339"/>
      <c r="CL221" s="339">
        <f t="shared" si="118"/>
        <v>0</v>
      </c>
      <c r="CN221" s="339"/>
      <c r="CO221" s="339"/>
      <c r="CP221" s="339"/>
      <c r="CQ221" s="339"/>
      <c r="CR221" s="339"/>
      <c r="CS221" s="339">
        <f t="shared" si="119"/>
        <v>0</v>
      </c>
      <c r="CU221" s="339"/>
      <c r="CV221" s="339"/>
      <c r="CW221" s="339"/>
      <c r="CX221" s="339"/>
      <c r="CY221" s="339"/>
      <c r="CZ221" s="339">
        <f t="shared" si="120"/>
        <v>0</v>
      </c>
      <c r="DB221" s="339"/>
      <c r="DC221" s="339"/>
      <c r="DD221" s="339"/>
      <c r="DE221" s="339"/>
      <c r="DF221" s="339"/>
      <c r="DG221" s="339">
        <f t="shared" si="121"/>
        <v>0</v>
      </c>
      <c r="DI221" s="339"/>
      <c r="DJ221" s="339"/>
      <c r="DK221" s="339"/>
      <c r="DL221" s="339"/>
      <c r="DM221" s="339"/>
      <c r="DN221" s="339">
        <f t="shared" si="122"/>
        <v>0</v>
      </c>
    </row>
    <row r="222" spans="1:118">
      <c r="S222" s="417"/>
      <c r="T222" s="417"/>
      <c r="V222" s="339">
        <v>3.7</v>
      </c>
      <c r="W222" s="339">
        <v>2.35</v>
      </c>
      <c r="X222" s="339"/>
      <c r="Y222" s="339"/>
      <c r="Z222" s="339"/>
      <c r="AA222" s="339">
        <f t="shared" si="109"/>
        <v>8.6950000000000003</v>
      </c>
      <c r="AC222" s="339"/>
      <c r="AD222" s="339"/>
      <c r="AE222" s="339"/>
      <c r="AF222" s="339"/>
      <c r="AG222" s="339"/>
      <c r="AH222" s="339">
        <f t="shared" si="110"/>
        <v>0</v>
      </c>
      <c r="AJ222" s="339">
        <v>1.75</v>
      </c>
      <c r="AK222" s="339">
        <v>3</v>
      </c>
      <c r="AL222" s="339"/>
      <c r="AM222" s="339"/>
      <c r="AN222" s="339"/>
      <c r="AO222" s="339">
        <f t="shared" si="111"/>
        <v>5.25</v>
      </c>
      <c r="AQ222" s="339"/>
      <c r="AR222" s="339"/>
      <c r="AS222" s="339"/>
      <c r="AT222" s="339"/>
      <c r="AU222" s="339"/>
      <c r="AV222" s="339">
        <f t="shared" si="112"/>
        <v>0</v>
      </c>
      <c r="AX222" s="339"/>
      <c r="AY222" s="339"/>
      <c r="AZ222" s="339"/>
      <c r="BA222" s="339"/>
      <c r="BB222" s="339"/>
      <c r="BC222" s="339">
        <f t="shared" si="113"/>
        <v>0</v>
      </c>
      <c r="BE222" s="339"/>
      <c r="BF222" s="339"/>
      <c r="BG222" s="339"/>
      <c r="BH222" s="339"/>
      <c r="BI222" s="339"/>
      <c r="BJ222" s="339">
        <f t="shared" si="114"/>
        <v>0</v>
      </c>
      <c r="BL222" s="339"/>
      <c r="BM222" s="339"/>
      <c r="BN222" s="339"/>
      <c r="BO222" s="339"/>
      <c r="BP222" s="339"/>
      <c r="BQ222" s="339">
        <f t="shared" si="115"/>
        <v>0</v>
      </c>
      <c r="BS222" s="339"/>
      <c r="BT222" s="339"/>
      <c r="BU222" s="339"/>
      <c r="BV222" s="339"/>
      <c r="BW222" s="339"/>
      <c r="BX222" s="339">
        <f t="shared" si="116"/>
        <v>0</v>
      </c>
      <c r="BZ222" s="339"/>
      <c r="CA222" s="339"/>
      <c r="CB222" s="339"/>
      <c r="CC222" s="339"/>
      <c r="CD222" s="339"/>
      <c r="CE222" s="339">
        <f t="shared" si="117"/>
        <v>0</v>
      </c>
      <c r="CG222" s="339"/>
      <c r="CH222" s="339"/>
      <c r="CI222" s="339"/>
      <c r="CJ222" s="339"/>
      <c r="CK222" s="339"/>
      <c r="CL222" s="339">
        <f t="shared" si="118"/>
        <v>0</v>
      </c>
      <c r="CN222" s="339"/>
      <c r="CO222" s="339"/>
      <c r="CP222" s="339"/>
      <c r="CQ222" s="339"/>
      <c r="CR222" s="339"/>
      <c r="CS222" s="339">
        <f t="shared" si="119"/>
        <v>0</v>
      </c>
      <c r="CU222" s="339"/>
      <c r="CV222" s="339"/>
      <c r="CW222" s="339"/>
      <c r="CX222" s="339"/>
      <c r="CY222" s="339"/>
      <c r="CZ222" s="339">
        <f t="shared" si="120"/>
        <v>0</v>
      </c>
      <c r="DB222" s="339"/>
      <c r="DC222" s="339"/>
      <c r="DD222" s="339"/>
      <c r="DE222" s="339"/>
      <c r="DF222" s="339"/>
      <c r="DG222" s="339">
        <f t="shared" si="121"/>
        <v>0</v>
      </c>
      <c r="DI222" s="339"/>
      <c r="DJ222" s="339"/>
      <c r="DK222" s="339"/>
      <c r="DL222" s="339"/>
      <c r="DM222" s="339"/>
      <c r="DN222" s="339">
        <f t="shared" si="122"/>
        <v>0</v>
      </c>
    </row>
    <row r="223" spans="1:118">
      <c r="S223" s="417"/>
      <c r="T223" s="417"/>
      <c r="V223" s="339">
        <v>3.7</v>
      </c>
      <c r="W223" s="339">
        <v>2.35</v>
      </c>
      <c r="X223" s="339"/>
      <c r="Y223" s="339"/>
      <c r="Z223" s="339"/>
      <c r="AA223" s="339">
        <f t="shared" si="109"/>
        <v>8.6950000000000003</v>
      </c>
      <c r="AC223" s="339"/>
      <c r="AD223" s="339"/>
      <c r="AE223" s="339"/>
      <c r="AF223" s="339"/>
      <c r="AG223" s="339"/>
      <c r="AH223" s="339">
        <f t="shared" si="110"/>
        <v>0</v>
      </c>
      <c r="AJ223" s="339">
        <v>3.8</v>
      </c>
      <c r="AK223" s="339">
        <v>3</v>
      </c>
      <c r="AL223" s="339"/>
      <c r="AM223" s="339" t="s">
        <v>728</v>
      </c>
      <c r="AN223" s="339">
        <f>K7</f>
        <v>4.75</v>
      </c>
      <c r="AO223" s="339">
        <f t="shared" si="111"/>
        <v>6.6499999999999986</v>
      </c>
      <c r="AQ223" s="339"/>
      <c r="AR223" s="339"/>
      <c r="AS223" s="339"/>
      <c r="AT223" s="339"/>
      <c r="AU223" s="339"/>
      <c r="AV223" s="339">
        <f t="shared" si="112"/>
        <v>0</v>
      </c>
      <c r="AX223" s="339"/>
      <c r="AY223" s="339"/>
      <c r="AZ223" s="339"/>
      <c r="BA223" s="339"/>
      <c r="BB223" s="339"/>
      <c r="BC223" s="339">
        <f t="shared" si="113"/>
        <v>0</v>
      </c>
      <c r="BE223" s="339"/>
      <c r="BF223" s="339"/>
      <c r="BG223" s="339"/>
      <c r="BH223" s="339"/>
      <c r="BI223" s="339"/>
      <c r="BJ223" s="339">
        <f t="shared" si="114"/>
        <v>0</v>
      </c>
      <c r="BL223" s="339"/>
      <c r="BM223" s="339"/>
      <c r="BN223" s="339"/>
      <c r="BO223" s="339"/>
      <c r="BP223" s="339"/>
      <c r="BQ223" s="339">
        <f t="shared" si="115"/>
        <v>0</v>
      </c>
      <c r="BS223" s="339"/>
      <c r="BT223" s="339"/>
      <c r="BU223" s="339"/>
      <c r="BV223" s="339"/>
      <c r="BW223" s="339"/>
      <c r="BX223" s="339">
        <f t="shared" si="116"/>
        <v>0</v>
      </c>
      <c r="BZ223" s="339"/>
      <c r="CA223" s="339"/>
      <c r="CB223" s="339"/>
      <c r="CC223" s="339"/>
      <c r="CD223" s="339"/>
      <c r="CE223" s="339">
        <f t="shared" si="117"/>
        <v>0</v>
      </c>
      <c r="CG223" s="339"/>
      <c r="CH223" s="339"/>
      <c r="CI223" s="339"/>
      <c r="CJ223" s="339"/>
      <c r="CK223" s="339"/>
      <c r="CL223" s="339">
        <f t="shared" si="118"/>
        <v>0</v>
      </c>
      <c r="CN223" s="339"/>
      <c r="CO223" s="339"/>
      <c r="CP223" s="339"/>
      <c r="CQ223" s="339"/>
      <c r="CR223" s="339"/>
      <c r="CS223" s="339">
        <f t="shared" si="119"/>
        <v>0</v>
      </c>
      <c r="CU223" s="339"/>
      <c r="CV223" s="339"/>
      <c r="CW223" s="339"/>
      <c r="CX223" s="339"/>
      <c r="CY223" s="339"/>
      <c r="CZ223" s="339">
        <f t="shared" si="120"/>
        <v>0</v>
      </c>
      <c r="DB223" s="339"/>
      <c r="DC223" s="339"/>
      <c r="DD223" s="339"/>
      <c r="DE223" s="339"/>
      <c r="DF223" s="339"/>
      <c r="DG223" s="339">
        <f t="shared" si="121"/>
        <v>0</v>
      </c>
      <c r="DI223" s="339"/>
      <c r="DJ223" s="339"/>
      <c r="DK223" s="339"/>
      <c r="DL223" s="339"/>
      <c r="DM223" s="339"/>
      <c r="DN223" s="339">
        <f t="shared" si="122"/>
        <v>0</v>
      </c>
    </row>
    <row r="224" spans="1:118">
      <c r="S224" s="417"/>
      <c r="T224" s="417"/>
      <c r="V224" s="339">
        <v>3.7</v>
      </c>
      <c r="W224" s="339">
        <v>2.35</v>
      </c>
      <c r="X224" s="339"/>
      <c r="Y224" s="339"/>
      <c r="Z224" s="339"/>
      <c r="AA224" s="339">
        <f t="shared" si="109"/>
        <v>8.6950000000000003</v>
      </c>
      <c r="AC224" s="339"/>
      <c r="AD224" s="339"/>
      <c r="AE224" s="339"/>
      <c r="AF224" s="339"/>
      <c r="AG224" s="339"/>
      <c r="AH224" s="339">
        <f t="shared" si="110"/>
        <v>0</v>
      </c>
      <c r="AJ224" s="339">
        <v>1.75</v>
      </c>
      <c r="AK224" s="339">
        <v>3</v>
      </c>
      <c r="AL224" s="339"/>
      <c r="AM224" s="339"/>
      <c r="AN224" s="339"/>
      <c r="AO224" s="339">
        <f t="shared" si="111"/>
        <v>5.25</v>
      </c>
      <c r="AQ224" s="339"/>
      <c r="AR224" s="339"/>
      <c r="AS224" s="339"/>
      <c r="AT224" s="339"/>
      <c r="AU224" s="339"/>
      <c r="AV224" s="339">
        <f t="shared" si="112"/>
        <v>0</v>
      </c>
      <c r="AX224" s="339"/>
      <c r="AY224" s="339"/>
      <c r="AZ224" s="339"/>
      <c r="BA224" s="339"/>
      <c r="BB224" s="339"/>
      <c r="BC224" s="339">
        <f t="shared" si="113"/>
        <v>0</v>
      </c>
      <c r="BE224" s="339"/>
      <c r="BF224" s="339"/>
      <c r="BG224" s="339"/>
      <c r="BH224" s="339"/>
      <c r="BI224" s="339"/>
      <c r="BJ224" s="339">
        <f t="shared" si="114"/>
        <v>0</v>
      </c>
      <c r="BL224" s="339"/>
      <c r="BM224" s="339"/>
      <c r="BN224" s="339"/>
      <c r="BO224" s="339"/>
      <c r="BP224" s="339"/>
      <c r="BQ224" s="339">
        <f t="shared" si="115"/>
        <v>0</v>
      </c>
      <c r="BS224" s="339"/>
      <c r="BT224" s="339"/>
      <c r="BU224" s="339"/>
      <c r="BV224" s="339"/>
      <c r="BW224" s="339"/>
      <c r="BX224" s="339">
        <f t="shared" si="116"/>
        <v>0</v>
      </c>
      <c r="BZ224" s="339"/>
      <c r="CA224" s="339"/>
      <c r="CB224" s="339"/>
      <c r="CC224" s="339"/>
      <c r="CD224" s="339"/>
      <c r="CE224" s="339">
        <f t="shared" si="117"/>
        <v>0</v>
      </c>
      <c r="CG224" s="339"/>
      <c r="CH224" s="339"/>
      <c r="CI224" s="339"/>
      <c r="CJ224" s="339"/>
      <c r="CK224" s="339"/>
      <c r="CL224" s="339">
        <f t="shared" si="118"/>
        <v>0</v>
      </c>
      <c r="CN224" s="339"/>
      <c r="CO224" s="339"/>
      <c r="CP224" s="339"/>
      <c r="CQ224" s="339"/>
      <c r="CR224" s="339"/>
      <c r="CS224" s="339">
        <f t="shared" si="119"/>
        <v>0</v>
      </c>
      <c r="CU224" s="339"/>
      <c r="CV224" s="339"/>
      <c r="CW224" s="339"/>
      <c r="CX224" s="339"/>
      <c r="CY224" s="339"/>
      <c r="CZ224" s="339">
        <f t="shared" si="120"/>
        <v>0</v>
      </c>
      <c r="DB224" s="339"/>
      <c r="DC224" s="339"/>
      <c r="DD224" s="339"/>
      <c r="DE224" s="339"/>
      <c r="DF224" s="339"/>
      <c r="DG224" s="339">
        <f t="shared" si="121"/>
        <v>0</v>
      </c>
      <c r="DI224" s="339"/>
      <c r="DJ224" s="339"/>
      <c r="DK224" s="339"/>
      <c r="DL224" s="339"/>
      <c r="DM224" s="339"/>
      <c r="DN224" s="339">
        <f t="shared" si="122"/>
        <v>0</v>
      </c>
    </row>
    <row r="225" spans="19:118">
      <c r="S225" s="417"/>
      <c r="T225" s="417"/>
      <c r="V225" s="339">
        <v>2.7</v>
      </c>
      <c r="W225" s="339">
        <v>2.35</v>
      </c>
      <c r="X225" s="339"/>
      <c r="Y225" s="339" t="s">
        <v>727</v>
      </c>
      <c r="Z225" s="339">
        <f>K11</f>
        <v>2.2549999999999999</v>
      </c>
      <c r="AA225" s="339">
        <f t="shared" si="109"/>
        <v>4.0900000000000007</v>
      </c>
      <c r="AC225" s="339"/>
      <c r="AD225" s="339"/>
      <c r="AE225" s="339"/>
      <c r="AF225" s="339"/>
      <c r="AG225" s="339"/>
      <c r="AH225" s="339">
        <f t="shared" si="110"/>
        <v>0</v>
      </c>
      <c r="AJ225" s="339">
        <v>8</v>
      </c>
      <c r="AK225" s="339">
        <v>3</v>
      </c>
      <c r="AL225" s="339"/>
      <c r="AM225" s="339"/>
      <c r="AN225" s="339"/>
      <c r="AO225" s="339">
        <f t="shared" si="111"/>
        <v>24</v>
      </c>
      <c r="AQ225" s="339"/>
      <c r="AR225" s="339"/>
      <c r="AS225" s="339"/>
      <c r="AT225" s="339"/>
      <c r="AU225" s="339"/>
      <c r="AV225" s="339">
        <f t="shared" si="112"/>
        <v>0</v>
      </c>
      <c r="AX225" s="339"/>
      <c r="AY225" s="339"/>
      <c r="AZ225" s="339"/>
      <c r="BA225" s="339"/>
      <c r="BB225" s="339"/>
      <c r="BC225" s="339">
        <f t="shared" si="113"/>
        <v>0</v>
      </c>
      <c r="BE225" s="339"/>
      <c r="BF225" s="339"/>
      <c r="BG225" s="339"/>
      <c r="BH225" s="339"/>
      <c r="BI225" s="339"/>
      <c r="BJ225" s="339">
        <f t="shared" si="114"/>
        <v>0</v>
      </c>
      <c r="BL225" s="339"/>
      <c r="BM225" s="339"/>
      <c r="BN225" s="339"/>
      <c r="BO225" s="339"/>
      <c r="BP225" s="339"/>
      <c r="BQ225" s="339">
        <f t="shared" si="115"/>
        <v>0</v>
      </c>
      <c r="BS225" s="339"/>
      <c r="BT225" s="339"/>
      <c r="BU225" s="339"/>
      <c r="BV225" s="339"/>
      <c r="BW225" s="339"/>
      <c r="BX225" s="339">
        <f t="shared" si="116"/>
        <v>0</v>
      </c>
      <c r="BZ225" s="339"/>
      <c r="CA225" s="339"/>
      <c r="CB225" s="339"/>
      <c r="CC225" s="339"/>
      <c r="CD225" s="339"/>
      <c r="CE225" s="339">
        <f t="shared" si="117"/>
        <v>0</v>
      </c>
      <c r="CG225" s="339"/>
      <c r="CH225" s="339"/>
      <c r="CI225" s="339"/>
      <c r="CJ225" s="339"/>
      <c r="CK225" s="339"/>
      <c r="CL225" s="339">
        <f t="shared" si="118"/>
        <v>0</v>
      </c>
      <c r="CN225" s="339"/>
      <c r="CO225" s="339"/>
      <c r="CP225" s="339"/>
      <c r="CQ225" s="339"/>
      <c r="CR225" s="339"/>
      <c r="CS225" s="339">
        <f t="shared" si="119"/>
        <v>0</v>
      </c>
      <c r="CU225" s="339"/>
      <c r="CV225" s="339"/>
      <c r="CW225" s="339"/>
      <c r="CX225" s="339"/>
      <c r="CY225" s="339"/>
      <c r="CZ225" s="339">
        <f t="shared" si="120"/>
        <v>0</v>
      </c>
      <c r="DB225" s="339"/>
      <c r="DC225" s="339"/>
      <c r="DD225" s="339"/>
      <c r="DE225" s="339"/>
      <c r="DF225" s="339"/>
      <c r="DG225" s="339">
        <f t="shared" si="121"/>
        <v>0</v>
      </c>
      <c r="DI225" s="339"/>
      <c r="DJ225" s="339"/>
      <c r="DK225" s="339"/>
      <c r="DL225" s="339"/>
      <c r="DM225" s="339"/>
      <c r="DN225" s="339">
        <f t="shared" si="122"/>
        <v>0</v>
      </c>
    </row>
    <row r="226" spans="19:118">
      <c r="S226" s="417">
        <f>1.1*(T226/2)</f>
        <v>19.305000000000003</v>
      </c>
      <c r="T226" s="417">
        <v>35.1</v>
      </c>
      <c r="V226" s="339">
        <v>34.299999999999997</v>
      </c>
      <c r="W226" s="339">
        <v>1.1000000000000001</v>
      </c>
      <c r="X226" s="339"/>
      <c r="Y226" s="339"/>
      <c r="Z226" s="339"/>
      <c r="AA226" s="339">
        <f t="shared" si="109"/>
        <v>37.729999999999997</v>
      </c>
      <c r="AC226" s="339"/>
      <c r="AD226" s="339"/>
      <c r="AE226" s="339"/>
      <c r="AF226" s="339"/>
      <c r="AG226" s="339"/>
      <c r="AH226" s="339">
        <f t="shared" si="110"/>
        <v>0</v>
      </c>
      <c r="AJ226" s="339">
        <v>7.7</v>
      </c>
      <c r="AK226" s="339">
        <v>3</v>
      </c>
      <c r="AL226" s="339"/>
      <c r="AM226" s="339" t="s">
        <v>729</v>
      </c>
      <c r="AN226" s="339">
        <f>Q9*2</f>
        <v>10.5</v>
      </c>
      <c r="AO226" s="339">
        <f t="shared" si="111"/>
        <v>12.600000000000001</v>
      </c>
      <c r="AQ226" s="339"/>
      <c r="AR226" s="339"/>
      <c r="AS226" s="339"/>
      <c r="AT226" s="339"/>
      <c r="AU226" s="339"/>
      <c r="AV226" s="339">
        <f t="shared" si="112"/>
        <v>0</v>
      </c>
      <c r="AX226" s="339"/>
      <c r="AY226" s="339"/>
      <c r="AZ226" s="339"/>
      <c r="BA226" s="339"/>
      <c r="BB226" s="339"/>
      <c r="BC226" s="339">
        <f t="shared" si="113"/>
        <v>0</v>
      </c>
      <c r="BE226" s="339"/>
      <c r="BF226" s="339"/>
      <c r="BG226" s="339"/>
      <c r="BH226" s="339"/>
      <c r="BI226" s="339"/>
      <c r="BJ226" s="339">
        <f t="shared" si="114"/>
        <v>0</v>
      </c>
      <c r="BL226" s="339"/>
      <c r="BM226" s="339"/>
      <c r="BN226" s="339"/>
      <c r="BO226" s="339"/>
      <c r="BP226" s="339"/>
      <c r="BQ226" s="339">
        <f t="shared" si="115"/>
        <v>0</v>
      </c>
      <c r="BS226" s="339"/>
      <c r="BT226" s="339"/>
      <c r="BU226" s="339"/>
      <c r="BV226" s="339"/>
      <c r="BW226" s="339"/>
      <c r="BX226" s="339">
        <f t="shared" si="116"/>
        <v>0</v>
      </c>
      <c r="BZ226" s="339"/>
      <c r="CA226" s="339"/>
      <c r="CB226" s="339"/>
      <c r="CC226" s="339"/>
      <c r="CD226" s="339"/>
      <c r="CE226" s="339">
        <f t="shared" si="117"/>
        <v>0</v>
      </c>
      <c r="CG226" s="339"/>
      <c r="CH226" s="339"/>
      <c r="CI226" s="339"/>
      <c r="CJ226" s="339"/>
      <c r="CK226" s="339"/>
      <c r="CL226" s="339">
        <f t="shared" si="118"/>
        <v>0</v>
      </c>
      <c r="CN226" s="339"/>
      <c r="CO226" s="339"/>
      <c r="CP226" s="339"/>
      <c r="CQ226" s="339"/>
      <c r="CR226" s="339"/>
      <c r="CS226" s="339">
        <f t="shared" si="119"/>
        <v>0</v>
      </c>
      <c r="CU226" s="339"/>
      <c r="CV226" s="339"/>
      <c r="CW226" s="339"/>
      <c r="CX226" s="339"/>
      <c r="CY226" s="339"/>
      <c r="CZ226" s="339">
        <f t="shared" si="120"/>
        <v>0</v>
      </c>
      <c r="DB226" s="339"/>
      <c r="DC226" s="339"/>
      <c r="DD226" s="339"/>
      <c r="DE226" s="339"/>
      <c r="DF226" s="339"/>
      <c r="DG226" s="339">
        <f t="shared" si="121"/>
        <v>0</v>
      </c>
      <c r="DI226" s="339"/>
      <c r="DJ226" s="339"/>
      <c r="DK226" s="339"/>
      <c r="DL226" s="339"/>
      <c r="DM226" s="339"/>
      <c r="DN226" s="339">
        <f t="shared" si="122"/>
        <v>0</v>
      </c>
    </row>
    <row r="227" spans="19:118">
      <c r="S227" s="417"/>
      <c r="T227" s="417"/>
      <c r="V227" s="339"/>
      <c r="W227" s="339"/>
      <c r="X227" s="339"/>
      <c r="Y227" s="339"/>
      <c r="Z227" s="339"/>
      <c r="AA227" s="339">
        <f t="shared" si="109"/>
        <v>0</v>
      </c>
      <c r="AC227" s="339"/>
      <c r="AD227" s="339"/>
      <c r="AE227" s="339"/>
      <c r="AF227" s="339"/>
      <c r="AG227" s="339"/>
      <c r="AH227" s="339">
        <f t="shared" si="110"/>
        <v>0</v>
      </c>
      <c r="AJ227" s="339">
        <v>1.17</v>
      </c>
      <c r="AK227" s="339">
        <v>3</v>
      </c>
      <c r="AL227" s="339"/>
      <c r="AM227" s="339"/>
      <c r="AN227" s="339"/>
      <c r="AO227" s="339">
        <f t="shared" si="111"/>
        <v>3.51</v>
      </c>
      <c r="AQ227" s="339"/>
      <c r="AR227" s="339"/>
      <c r="AS227" s="339"/>
      <c r="AT227" s="339"/>
      <c r="AU227" s="339"/>
      <c r="AV227" s="339">
        <f t="shared" si="112"/>
        <v>0</v>
      </c>
      <c r="AX227" s="339"/>
      <c r="AY227" s="339"/>
      <c r="AZ227" s="339"/>
      <c r="BA227" s="339"/>
      <c r="BB227" s="339"/>
      <c r="BC227" s="339">
        <f t="shared" si="113"/>
        <v>0</v>
      </c>
      <c r="BE227" s="339"/>
      <c r="BF227" s="339"/>
      <c r="BG227" s="339"/>
      <c r="BH227" s="339"/>
      <c r="BI227" s="339"/>
      <c r="BJ227" s="339">
        <f t="shared" si="114"/>
        <v>0</v>
      </c>
      <c r="BL227" s="339"/>
      <c r="BM227" s="339"/>
      <c r="BN227" s="339"/>
      <c r="BO227" s="339"/>
      <c r="BP227" s="339"/>
      <c r="BQ227" s="339">
        <f t="shared" si="115"/>
        <v>0</v>
      </c>
      <c r="BS227" s="339"/>
      <c r="BT227" s="339"/>
      <c r="BU227" s="339"/>
      <c r="BV227" s="339"/>
      <c r="BW227" s="339"/>
      <c r="BX227" s="339">
        <f t="shared" si="116"/>
        <v>0</v>
      </c>
      <c r="BZ227" s="339"/>
      <c r="CA227" s="339"/>
      <c r="CB227" s="339"/>
      <c r="CC227" s="339"/>
      <c r="CD227" s="339"/>
      <c r="CE227" s="339">
        <f t="shared" si="117"/>
        <v>0</v>
      </c>
      <c r="CG227" s="339"/>
      <c r="CH227" s="339"/>
      <c r="CI227" s="339"/>
      <c r="CJ227" s="339"/>
      <c r="CK227" s="339"/>
      <c r="CL227" s="339">
        <f t="shared" si="118"/>
        <v>0</v>
      </c>
      <c r="CN227" s="339"/>
      <c r="CO227" s="339"/>
      <c r="CP227" s="339"/>
      <c r="CQ227" s="339"/>
      <c r="CR227" s="339"/>
      <c r="CS227" s="339">
        <f t="shared" si="119"/>
        <v>0</v>
      </c>
      <c r="CU227" s="339"/>
      <c r="CV227" s="339"/>
      <c r="CW227" s="339"/>
      <c r="CX227" s="339"/>
      <c r="CY227" s="339"/>
      <c r="CZ227" s="339">
        <f t="shared" si="120"/>
        <v>0</v>
      </c>
      <c r="DB227" s="339"/>
      <c r="DC227" s="339"/>
      <c r="DD227" s="339"/>
      <c r="DE227" s="339"/>
      <c r="DF227" s="339"/>
      <c r="DG227" s="339">
        <f t="shared" si="121"/>
        <v>0</v>
      </c>
      <c r="DI227" s="339"/>
      <c r="DJ227" s="339"/>
      <c r="DK227" s="339"/>
      <c r="DL227" s="339"/>
      <c r="DM227" s="339"/>
      <c r="DN227" s="339">
        <f t="shared" si="122"/>
        <v>0</v>
      </c>
    </row>
    <row r="228" spans="19:118">
      <c r="S228" s="417"/>
      <c r="T228" s="417"/>
      <c r="V228" s="339"/>
      <c r="W228" s="339"/>
      <c r="X228" s="339"/>
      <c r="Y228" s="339"/>
      <c r="Z228" s="339"/>
      <c r="AA228" s="339">
        <f t="shared" si="109"/>
        <v>0</v>
      </c>
      <c r="AC228" s="339"/>
      <c r="AD228" s="339"/>
      <c r="AE228" s="339"/>
      <c r="AF228" s="339"/>
      <c r="AG228" s="339"/>
      <c r="AH228" s="339">
        <f t="shared" si="110"/>
        <v>0</v>
      </c>
      <c r="AJ228" s="339">
        <f>1.3*12</f>
        <v>15.600000000000001</v>
      </c>
      <c r="AK228" s="339">
        <v>3</v>
      </c>
      <c r="AL228" s="339"/>
      <c r="AM228" s="339"/>
      <c r="AN228" s="339"/>
      <c r="AO228" s="339">
        <f t="shared" si="111"/>
        <v>46.800000000000004</v>
      </c>
      <c r="AQ228" s="339"/>
      <c r="AR228" s="339"/>
      <c r="AS228" s="339"/>
      <c r="AT228" s="339"/>
      <c r="AU228" s="339"/>
      <c r="AV228" s="339">
        <f t="shared" si="112"/>
        <v>0</v>
      </c>
      <c r="AX228" s="339"/>
      <c r="AY228" s="339"/>
      <c r="AZ228" s="339"/>
      <c r="BA228" s="339"/>
      <c r="BB228" s="339"/>
      <c r="BC228" s="339">
        <f t="shared" si="113"/>
        <v>0</v>
      </c>
      <c r="BE228" s="339"/>
      <c r="BF228" s="339"/>
      <c r="BG228" s="339"/>
      <c r="BH228" s="339"/>
      <c r="BI228" s="339"/>
      <c r="BJ228" s="339">
        <f t="shared" si="114"/>
        <v>0</v>
      </c>
      <c r="BL228" s="339"/>
      <c r="BM228" s="339"/>
      <c r="BN228" s="339"/>
      <c r="BO228" s="339"/>
      <c r="BP228" s="339"/>
      <c r="BQ228" s="339">
        <f t="shared" si="115"/>
        <v>0</v>
      </c>
      <c r="BS228" s="339"/>
      <c r="BT228" s="339"/>
      <c r="BU228" s="339"/>
      <c r="BV228" s="339"/>
      <c r="BW228" s="339"/>
      <c r="BX228" s="339">
        <f t="shared" si="116"/>
        <v>0</v>
      </c>
      <c r="BZ228" s="339"/>
      <c r="CA228" s="339"/>
      <c r="CB228" s="339"/>
      <c r="CC228" s="339"/>
      <c r="CD228" s="339"/>
      <c r="CE228" s="339">
        <f t="shared" si="117"/>
        <v>0</v>
      </c>
      <c r="CG228" s="339"/>
      <c r="CH228" s="339"/>
      <c r="CI228" s="339"/>
      <c r="CJ228" s="339"/>
      <c r="CK228" s="339"/>
      <c r="CL228" s="339">
        <f t="shared" si="118"/>
        <v>0</v>
      </c>
      <c r="CN228" s="339"/>
      <c r="CO228" s="339"/>
      <c r="CP228" s="339"/>
      <c r="CQ228" s="339"/>
      <c r="CR228" s="339"/>
      <c r="CS228" s="339">
        <f t="shared" si="119"/>
        <v>0</v>
      </c>
      <c r="CU228" s="339"/>
      <c r="CV228" s="339"/>
      <c r="CW228" s="339"/>
      <c r="CX228" s="339"/>
      <c r="CY228" s="339"/>
      <c r="CZ228" s="339">
        <f t="shared" si="120"/>
        <v>0</v>
      </c>
      <c r="DB228" s="339"/>
      <c r="DC228" s="339"/>
      <c r="DD228" s="339"/>
      <c r="DE228" s="339"/>
      <c r="DF228" s="339"/>
      <c r="DG228" s="339">
        <f t="shared" si="121"/>
        <v>0</v>
      </c>
      <c r="DI228" s="339"/>
      <c r="DJ228" s="339"/>
      <c r="DK228" s="339"/>
      <c r="DL228" s="339"/>
      <c r="DM228" s="339"/>
      <c r="DN228" s="339">
        <f t="shared" si="122"/>
        <v>0</v>
      </c>
    </row>
    <row r="229" spans="19:118">
      <c r="S229" s="417"/>
      <c r="T229" s="417"/>
      <c r="V229" s="339"/>
      <c r="W229" s="339"/>
      <c r="X229" s="339"/>
      <c r="Y229" s="339"/>
      <c r="Z229" s="339"/>
      <c r="AA229" s="339">
        <f t="shared" si="109"/>
        <v>0</v>
      </c>
      <c r="AC229" s="339"/>
      <c r="AD229" s="339"/>
      <c r="AE229" s="339"/>
      <c r="AF229" s="339"/>
      <c r="AG229" s="339"/>
      <c r="AH229" s="339">
        <f t="shared" si="110"/>
        <v>0</v>
      </c>
      <c r="AJ229" s="339">
        <v>3.7</v>
      </c>
      <c r="AK229" s="339">
        <v>3</v>
      </c>
      <c r="AL229" s="339"/>
      <c r="AM229" s="339" t="s">
        <v>730</v>
      </c>
      <c r="AN229" s="339">
        <f>K10</f>
        <v>3.8949999999999996</v>
      </c>
      <c r="AO229" s="339">
        <f t="shared" si="111"/>
        <v>7.2050000000000018</v>
      </c>
      <c r="AQ229" s="339"/>
      <c r="AR229" s="339"/>
      <c r="AS229" s="339"/>
      <c r="AT229" s="339"/>
      <c r="AU229" s="339"/>
      <c r="AV229" s="339">
        <f t="shared" si="112"/>
        <v>0</v>
      </c>
      <c r="AX229" s="339"/>
      <c r="AY229" s="339"/>
      <c r="AZ229" s="339"/>
      <c r="BA229" s="339"/>
      <c r="BB229" s="339"/>
      <c r="BC229" s="339">
        <f t="shared" si="113"/>
        <v>0</v>
      </c>
      <c r="BE229" s="339"/>
      <c r="BF229" s="339"/>
      <c r="BG229" s="339"/>
      <c r="BH229" s="339"/>
      <c r="BI229" s="339"/>
      <c r="BJ229" s="339">
        <f t="shared" si="114"/>
        <v>0</v>
      </c>
      <c r="BL229" s="339"/>
      <c r="BM229" s="339"/>
      <c r="BN229" s="339"/>
      <c r="BO229" s="339"/>
      <c r="BP229" s="339"/>
      <c r="BQ229" s="339">
        <f t="shared" si="115"/>
        <v>0</v>
      </c>
      <c r="BS229" s="339"/>
      <c r="BT229" s="339"/>
      <c r="BU229" s="339"/>
      <c r="BV229" s="339"/>
      <c r="BW229" s="339"/>
      <c r="BX229" s="339">
        <f t="shared" si="116"/>
        <v>0</v>
      </c>
      <c r="BZ229" s="339"/>
      <c r="CA229" s="339"/>
      <c r="CB229" s="339"/>
      <c r="CC229" s="339"/>
      <c r="CD229" s="339"/>
      <c r="CE229" s="339">
        <f t="shared" si="117"/>
        <v>0</v>
      </c>
      <c r="CG229" s="339"/>
      <c r="CH229" s="339"/>
      <c r="CI229" s="339"/>
      <c r="CJ229" s="339"/>
      <c r="CK229" s="339"/>
      <c r="CL229" s="339">
        <f t="shared" si="118"/>
        <v>0</v>
      </c>
      <c r="CN229" s="339"/>
      <c r="CO229" s="339"/>
      <c r="CP229" s="339"/>
      <c r="CQ229" s="339"/>
      <c r="CR229" s="339"/>
      <c r="CS229" s="339">
        <f t="shared" si="119"/>
        <v>0</v>
      </c>
      <c r="CU229" s="339"/>
      <c r="CV229" s="339"/>
      <c r="CW229" s="339"/>
      <c r="CX229" s="339"/>
      <c r="CY229" s="339"/>
      <c r="CZ229" s="339">
        <f t="shared" si="120"/>
        <v>0</v>
      </c>
      <c r="DB229" s="339"/>
      <c r="DC229" s="339"/>
      <c r="DD229" s="339"/>
      <c r="DE229" s="339"/>
      <c r="DF229" s="339"/>
      <c r="DG229" s="339">
        <f t="shared" si="121"/>
        <v>0</v>
      </c>
      <c r="DI229" s="339"/>
      <c r="DJ229" s="339"/>
      <c r="DK229" s="339"/>
      <c r="DL229" s="339"/>
      <c r="DM229" s="339"/>
      <c r="DN229" s="339">
        <f t="shared" si="122"/>
        <v>0</v>
      </c>
    </row>
    <row r="230" spans="19:118">
      <c r="S230" s="417"/>
      <c r="T230" s="417"/>
      <c r="V230" s="339"/>
      <c r="W230" s="339"/>
      <c r="X230" s="339"/>
      <c r="Y230" s="339"/>
      <c r="Z230" s="339"/>
      <c r="AA230" s="339">
        <f t="shared" si="109"/>
        <v>0</v>
      </c>
      <c r="AC230" s="339"/>
      <c r="AD230" s="339"/>
      <c r="AE230" s="339"/>
      <c r="AF230" s="339"/>
      <c r="AG230" s="339"/>
      <c r="AH230" s="339">
        <f t="shared" si="110"/>
        <v>0</v>
      </c>
      <c r="AJ230" s="339">
        <v>35.1</v>
      </c>
      <c r="AK230" s="339">
        <v>1</v>
      </c>
      <c r="AL230" s="339"/>
      <c r="AM230" s="339"/>
      <c r="AN230" s="339"/>
      <c r="AO230" s="339">
        <f t="shared" si="111"/>
        <v>35.1</v>
      </c>
      <c r="AQ230" s="339"/>
      <c r="AR230" s="339"/>
      <c r="AS230" s="339"/>
      <c r="AT230" s="339"/>
      <c r="AU230" s="339"/>
      <c r="AV230" s="339">
        <f t="shared" si="112"/>
        <v>0</v>
      </c>
      <c r="AX230" s="339"/>
      <c r="AY230" s="339"/>
      <c r="AZ230" s="339"/>
      <c r="BA230" s="339"/>
      <c r="BB230" s="339"/>
      <c r="BC230" s="339">
        <f t="shared" si="113"/>
        <v>0</v>
      </c>
      <c r="BE230" s="339"/>
      <c r="BF230" s="339"/>
      <c r="BG230" s="339"/>
      <c r="BH230" s="339"/>
      <c r="BI230" s="339"/>
      <c r="BJ230" s="339">
        <f t="shared" si="114"/>
        <v>0</v>
      </c>
      <c r="BL230" s="339"/>
      <c r="BM230" s="339"/>
      <c r="BN230" s="339"/>
      <c r="BO230" s="339"/>
      <c r="BP230" s="339"/>
      <c r="BQ230" s="339">
        <f t="shared" si="115"/>
        <v>0</v>
      </c>
      <c r="BS230" s="339"/>
      <c r="BT230" s="339"/>
      <c r="BU230" s="339"/>
      <c r="BV230" s="339"/>
      <c r="BW230" s="339"/>
      <c r="BX230" s="339">
        <f t="shared" si="116"/>
        <v>0</v>
      </c>
      <c r="BZ230" s="339"/>
      <c r="CA230" s="339"/>
      <c r="CB230" s="339"/>
      <c r="CC230" s="339"/>
      <c r="CD230" s="339"/>
      <c r="CE230" s="339">
        <f t="shared" si="117"/>
        <v>0</v>
      </c>
      <c r="CG230" s="339"/>
      <c r="CH230" s="339"/>
      <c r="CI230" s="339"/>
      <c r="CJ230" s="339"/>
      <c r="CK230" s="339"/>
      <c r="CL230" s="339">
        <f t="shared" si="118"/>
        <v>0</v>
      </c>
      <c r="CN230" s="339"/>
      <c r="CO230" s="339"/>
      <c r="CP230" s="339"/>
      <c r="CQ230" s="339"/>
      <c r="CR230" s="339"/>
      <c r="CS230" s="339">
        <f t="shared" si="119"/>
        <v>0</v>
      </c>
      <c r="CU230" s="339"/>
      <c r="CV230" s="339"/>
      <c r="CW230" s="339"/>
      <c r="CX230" s="339"/>
      <c r="CY230" s="339"/>
      <c r="CZ230" s="339">
        <f t="shared" si="120"/>
        <v>0</v>
      </c>
      <c r="DB230" s="339"/>
      <c r="DC230" s="339"/>
      <c r="DD230" s="339"/>
      <c r="DE230" s="339"/>
      <c r="DF230" s="339"/>
      <c r="DG230" s="339">
        <f t="shared" si="121"/>
        <v>0</v>
      </c>
      <c r="DI230" s="339"/>
      <c r="DJ230" s="339"/>
      <c r="DK230" s="339"/>
      <c r="DL230" s="339"/>
      <c r="DM230" s="339"/>
      <c r="DN230" s="339">
        <f t="shared" si="122"/>
        <v>0</v>
      </c>
    </row>
    <row r="231" spans="19:118">
      <c r="S231" s="417"/>
      <c r="T231" s="417"/>
      <c r="V231" s="339"/>
      <c r="W231" s="339"/>
      <c r="X231" s="339"/>
      <c r="Y231" s="339"/>
      <c r="Z231" s="339"/>
      <c r="AA231" s="339">
        <f t="shared" si="109"/>
        <v>0</v>
      </c>
      <c r="AC231" s="339"/>
      <c r="AD231" s="339"/>
      <c r="AE231" s="339"/>
      <c r="AF231" s="339"/>
      <c r="AG231" s="339"/>
      <c r="AH231" s="339">
        <f t="shared" si="110"/>
        <v>0</v>
      </c>
      <c r="AJ231" s="339"/>
      <c r="AK231" s="339"/>
      <c r="AL231" s="339"/>
      <c r="AM231" s="339"/>
      <c r="AN231" s="339"/>
      <c r="AO231" s="339">
        <f t="shared" si="111"/>
        <v>0</v>
      </c>
      <c r="AQ231" s="339"/>
      <c r="AR231" s="339"/>
      <c r="AS231" s="339"/>
      <c r="AT231" s="339"/>
      <c r="AU231" s="339"/>
      <c r="AV231" s="339">
        <f t="shared" si="112"/>
        <v>0</v>
      </c>
      <c r="AX231" s="339"/>
      <c r="AY231" s="339"/>
      <c r="AZ231" s="339"/>
      <c r="BA231" s="339"/>
      <c r="BB231" s="339"/>
      <c r="BC231" s="339">
        <f t="shared" si="113"/>
        <v>0</v>
      </c>
      <c r="BE231" s="339"/>
      <c r="BF231" s="339"/>
      <c r="BG231" s="339"/>
      <c r="BH231" s="339"/>
      <c r="BI231" s="339"/>
      <c r="BJ231" s="339">
        <f t="shared" si="114"/>
        <v>0</v>
      </c>
      <c r="BL231" s="339"/>
      <c r="BM231" s="339"/>
      <c r="BN231" s="339"/>
      <c r="BO231" s="339"/>
      <c r="BP231" s="339"/>
      <c r="BQ231" s="339">
        <f t="shared" si="115"/>
        <v>0</v>
      </c>
      <c r="BS231" s="339"/>
      <c r="BT231" s="339"/>
      <c r="BU231" s="339"/>
      <c r="BV231" s="339"/>
      <c r="BW231" s="339"/>
      <c r="BX231" s="339">
        <f t="shared" si="116"/>
        <v>0</v>
      </c>
      <c r="BZ231" s="339"/>
      <c r="CA231" s="339"/>
      <c r="CB231" s="339"/>
      <c r="CC231" s="339"/>
      <c r="CD231" s="339"/>
      <c r="CE231" s="339">
        <f t="shared" si="117"/>
        <v>0</v>
      </c>
      <c r="CG231" s="339"/>
      <c r="CH231" s="339"/>
      <c r="CI231" s="339"/>
      <c r="CJ231" s="339"/>
      <c r="CK231" s="339"/>
      <c r="CL231" s="339">
        <f t="shared" si="118"/>
        <v>0</v>
      </c>
      <c r="CN231" s="339"/>
      <c r="CO231" s="339"/>
      <c r="CP231" s="339"/>
      <c r="CQ231" s="339"/>
      <c r="CR231" s="339"/>
      <c r="CS231" s="339">
        <f t="shared" si="119"/>
        <v>0</v>
      </c>
      <c r="CU231" s="339"/>
      <c r="CV231" s="339"/>
      <c r="CW231" s="339"/>
      <c r="CX231" s="339"/>
      <c r="CY231" s="339"/>
      <c r="CZ231" s="339">
        <f t="shared" si="120"/>
        <v>0</v>
      </c>
      <c r="DB231" s="339"/>
      <c r="DC231" s="339"/>
      <c r="DD231" s="339"/>
      <c r="DE231" s="339"/>
      <c r="DF231" s="339"/>
      <c r="DG231" s="339">
        <f t="shared" si="121"/>
        <v>0</v>
      </c>
      <c r="DI231" s="339"/>
      <c r="DJ231" s="339"/>
      <c r="DK231" s="339"/>
      <c r="DL231" s="339"/>
      <c r="DM231" s="339"/>
      <c r="DN231" s="339">
        <f t="shared" si="122"/>
        <v>0</v>
      </c>
    </row>
    <row r="232" spans="19:118">
      <c r="S232" s="417"/>
      <c r="T232" s="417"/>
      <c r="V232" s="339"/>
      <c r="W232" s="339"/>
      <c r="X232" s="339"/>
      <c r="Y232" s="339"/>
      <c r="Z232" s="339"/>
      <c r="AA232" s="339">
        <f t="shared" si="109"/>
        <v>0</v>
      </c>
      <c r="AC232" s="339"/>
      <c r="AD232" s="339"/>
      <c r="AE232" s="339"/>
      <c r="AF232" s="339"/>
      <c r="AG232" s="339"/>
      <c r="AH232" s="339">
        <f t="shared" si="110"/>
        <v>0</v>
      </c>
      <c r="AJ232" s="339">
        <v>89.8</v>
      </c>
      <c r="AK232" s="339">
        <v>1.8</v>
      </c>
      <c r="AL232" s="339"/>
      <c r="AM232" s="339"/>
      <c r="AN232" s="339"/>
      <c r="AO232" s="339">
        <f t="shared" si="111"/>
        <v>161.63999999999999</v>
      </c>
      <c r="AQ232" s="339"/>
      <c r="AR232" s="339"/>
      <c r="AS232" s="339"/>
      <c r="AT232" s="339"/>
      <c r="AU232" s="339"/>
      <c r="AV232" s="339">
        <f t="shared" si="112"/>
        <v>0</v>
      </c>
      <c r="AX232" s="339"/>
      <c r="AY232" s="339"/>
      <c r="AZ232" s="339"/>
      <c r="BA232" s="339"/>
      <c r="BB232" s="339"/>
      <c r="BC232" s="339">
        <f t="shared" si="113"/>
        <v>0</v>
      </c>
      <c r="BE232" s="339"/>
      <c r="BF232" s="339"/>
      <c r="BG232" s="339"/>
      <c r="BH232" s="339"/>
      <c r="BI232" s="339"/>
      <c r="BJ232" s="339">
        <f t="shared" si="114"/>
        <v>0</v>
      </c>
      <c r="BL232" s="339"/>
      <c r="BM232" s="339"/>
      <c r="BN232" s="339"/>
      <c r="BO232" s="339"/>
      <c r="BP232" s="339"/>
      <c r="BQ232" s="339">
        <f t="shared" si="115"/>
        <v>0</v>
      </c>
      <c r="BS232" s="339"/>
      <c r="BT232" s="339"/>
      <c r="BU232" s="339"/>
      <c r="BV232" s="339"/>
      <c r="BW232" s="339"/>
      <c r="BX232" s="339">
        <f t="shared" si="116"/>
        <v>0</v>
      </c>
      <c r="BZ232" s="339"/>
      <c r="CA232" s="339"/>
      <c r="CB232" s="339"/>
      <c r="CC232" s="339"/>
      <c r="CD232" s="339"/>
      <c r="CE232" s="339">
        <f t="shared" si="117"/>
        <v>0</v>
      </c>
      <c r="CG232" s="339"/>
      <c r="CH232" s="339"/>
      <c r="CI232" s="339"/>
      <c r="CJ232" s="339"/>
      <c r="CK232" s="339"/>
      <c r="CL232" s="339">
        <f t="shared" si="118"/>
        <v>0</v>
      </c>
      <c r="CN232" s="339"/>
      <c r="CO232" s="339"/>
      <c r="CP232" s="339"/>
      <c r="CQ232" s="339"/>
      <c r="CR232" s="339"/>
      <c r="CS232" s="339">
        <f t="shared" si="119"/>
        <v>0</v>
      </c>
      <c r="CU232" s="339"/>
      <c r="CV232" s="339"/>
      <c r="CW232" s="339"/>
      <c r="CX232" s="339"/>
      <c r="CY232" s="339"/>
      <c r="CZ232" s="339">
        <f t="shared" si="120"/>
        <v>0</v>
      </c>
      <c r="DB232" s="339"/>
      <c r="DC232" s="339"/>
      <c r="DD232" s="339"/>
      <c r="DE232" s="339"/>
      <c r="DF232" s="339"/>
      <c r="DG232" s="339">
        <f t="shared" si="121"/>
        <v>0</v>
      </c>
      <c r="DI232" s="339"/>
      <c r="DJ232" s="339"/>
      <c r="DK232" s="339"/>
      <c r="DL232" s="339"/>
      <c r="DM232" s="339"/>
      <c r="DN232" s="339">
        <f t="shared" si="122"/>
        <v>0</v>
      </c>
    </row>
    <row r="233" spans="19:118">
      <c r="S233" s="417"/>
      <c r="T233" s="417"/>
      <c r="V233" s="339"/>
      <c r="W233" s="339"/>
      <c r="X233" s="339"/>
      <c r="Y233" s="339"/>
      <c r="Z233" s="339"/>
      <c r="AA233" s="339">
        <f t="shared" si="109"/>
        <v>0</v>
      </c>
      <c r="AC233" s="339"/>
      <c r="AD233" s="339"/>
      <c r="AE233" s="339"/>
      <c r="AF233" s="339"/>
      <c r="AG233" s="339"/>
      <c r="AH233" s="339">
        <f t="shared" si="110"/>
        <v>0</v>
      </c>
      <c r="AJ233" s="339"/>
      <c r="AK233" s="339"/>
      <c r="AL233" s="339"/>
      <c r="AM233" s="339"/>
      <c r="AN233" s="339"/>
      <c r="AO233" s="339">
        <f t="shared" si="111"/>
        <v>0</v>
      </c>
      <c r="AQ233" s="339"/>
      <c r="AR233" s="339"/>
      <c r="AS233" s="339"/>
      <c r="AT233" s="339"/>
      <c r="AU233" s="339"/>
      <c r="AV233" s="339">
        <f t="shared" si="112"/>
        <v>0</v>
      </c>
      <c r="AX233" s="339"/>
      <c r="AY233" s="339"/>
      <c r="AZ233" s="339"/>
      <c r="BA233" s="339"/>
      <c r="BB233" s="339"/>
      <c r="BC233" s="339">
        <f t="shared" si="113"/>
        <v>0</v>
      </c>
      <c r="BE233" s="339"/>
      <c r="BF233" s="339"/>
      <c r="BG233" s="339"/>
      <c r="BH233" s="339"/>
      <c r="BI233" s="339"/>
      <c r="BJ233" s="339">
        <f t="shared" si="114"/>
        <v>0</v>
      </c>
      <c r="BL233" s="339"/>
      <c r="BM233" s="339"/>
      <c r="BN233" s="339"/>
      <c r="BO233" s="339"/>
      <c r="BP233" s="339"/>
      <c r="BQ233" s="339">
        <f t="shared" si="115"/>
        <v>0</v>
      </c>
      <c r="BS233" s="339"/>
      <c r="BT233" s="339"/>
      <c r="BU233" s="339"/>
      <c r="BV233" s="339"/>
      <c r="BW233" s="339"/>
      <c r="BX233" s="339">
        <f t="shared" si="116"/>
        <v>0</v>
      </c>
      <c r="BZ233" s="339"/>
      <c r="CA233" s="339"/>
      <c r="CB233" s="339"/>
      <c r="CC233" s="339"/>
      <c r="CD233" s="339"/>
      <c r="CE233" s="339">
        <f t="shared" si="117"/>
        <v>0</v>
      </c>
      <c r="CG233" s="339"/>
      <c r="CH233" s="339"/>
      <c r="CI233" s="339"/>
      <c r="CJ233" s="339"/>
      <c r="CK233" s="339"/>
      <c r="CL233" s="339">
        <f t="shared" si="118"/>
        <v>0</v>
      </c>
      <c r="CN233" s="339"/>
      <c r="CO233" s="339"/>
      <c r="CP233" s="339"/>
      <c r="CQ233" s="339"/>
      <c r="CR233" s="339"/>
      <c r="CS233" s="339">
        <f t="shared" si="119"/>
        <v>0</v>
      </c>
      <c r="CU233" s="339"/>
      <c r="CV233" s="339"/>
      <c r="CW233" s="339"/>
      <c r="CX233" s="339"/>
      <c r="CY233" s="339"/>
      <c r="CZ233" s="339">
        <f t="shared" si="120"/>
        <v>0</v>
      </c>
      <c r="DB233" s="339"/>
      <c r="DC233" s="339"/>
      <c r="DD233" s="339"/>
      <c r="DE233" s="339"/>
      <c r="DF233" s="339"/>
      <c r="DG233" s="339">
        <f t="shared" si="121"/>
        <v>0</v>
      </c>
      <c r="DI233" s="339"/>
      <c r="DJ233" s="339"/>
      <c r="DK233" s="339"/>
      <c r="DL233" s="339"/>
      <c r="DM233" s="339"/>
      <c r="DN233" s="339">
        <f t="shared" si="122"/>
        <v>0</v>
      </c>
    </row>
    <row r="234" spans="19:118">
      <c r="S234" s="417"/>
      <c r="T234" s="417"/>
      <c r="V234" s="339"/>
      <c r="W234" s="339"/>
      <c r="X234" s="339"/>
      <c r="Y234" s="339"/>
      <c r="Z234" s="339"/>
      <c r="AA234" s="339">
        <f t="shared" si="109"/>
        <v>0</v>
      </c>
      <c r="AC234" s="339"/>
      <c r="AD234" s="339"/>
      <c r="AE234" s="339"/>
      <c r="AF234" s="339"/>
      <c r="AG234" s="339"/>
      <c r="AH234" s="339">
        <f t="shared" si="110"/>
        <v>0</v>
      </c>
      <c r="AJ234" s="339"/>
      <c r="AK234" s="339"/>
      <c r="AL234" s="339"/>
      <c r="AM234" s="339"/>
      <c r="AN234" s="339"/>
      <c r="AO234" s="339">
        <f t="shared" si="111"/>
        <v>0</v>
      </c>
      <c r="AQ234" s="339"/>
      <c r="AR234" s="339"/>
      <c r="AS234" s="339"/>
      <c r="AT234" s="339"/>
      <c r="AU234" s="339"/>
      <c r="AV234" s="339">
        <f t="shared" si="112"/>
        <v>0</v>
      </c>
      <c r="AX234" s="339"/>
      <c r="AY234" s="339"/>
      <c r="AZ234" s="339"/>
      <c r="BA234" s="339"/>
      <c r="BB234" s="339"/>
      <c r="BC234" s="339">
        <f t="shared" si="113"/>
        <v>0</v>
      </c>
      <c r="BE234" s="339"/>
      <c r="BF234" s="339"/>
      <c r="BG234" s="339"/>
      <c r="BH234" s="339"/>
      <c r="BI234" s="339"/>
      <c r="BJ234" s="339">
        <f t="shared" si="114"/>
        <v>0</v>
      </c>
      <c r="BL234" s="339"/>
      <c r="BM234" s="339"/>
      <c r="BN234" s="339"/>
      <c r="BO234" s="339"/>
      <c r="BP234" s="339"/>
      <c r="BQ234" s="339">
        <f t="shared" si="115"/>
        <v>0</v>
      </c>
      <c r="BS234" s="339"/>
      <c r="BT234" s="339"/>
      <c r="BU234" s="339"/>
      <c r="BV234" s="339"/>
      <c r="BW234" s="339"/>
      <c r="BX234" s="339">
        <f t="shared" si="116"/>
        <v>0</v>
      </c>
      <c r="BZ234" s="339"/>
      <c r="CA234" s="339"/>
      <c r="CB234" s="339"/>
      <c r="CC234" s="339"/>
      <c r="CD234" s="339"/>
      <c r="CE234" s="339">
        <f t="shared" si="117"/>
        <v>0</v>
      </c>
      <c r="CG234" s="339"/>
      <c r="CH234" s="339"/>
      <c r="CI234" s="339"/>
      <c r="CJ234" s="339"/>
      <c r="CK234" s="339"/>
      <c r="CL234" s="339">
        <f t="shared" si="118"/>
        <v>0</v>
      </c>
      <c r="CN234" s="339"/>
      <c r="CO234" s="339"/>
      <c r="CP234" s="339"/>
      <c r="CQ234" s="339"/>
      <c r="CR234" s="339"/>
      <c r="CS234" s="339">
        <f t="shared" si="119"/>
        <v>0</v>
      </c>
      <c r="CU234" s="339"/>
      <c r="CV234" s="339"/>
      <c r="CW234" s="339"/>
      <c r="CX234" s="339"/>
      <c r="CY234" s="339"/>
      <c r="CZ234" s="339">
        <f t="shared" si="120"/>
        <v>0</v>
      </c>
      <c r="DB234" s="339"/>
      <c r="DC234" s="339"/>
      <c r="DD234" s="339"/>
      <c r="DE234" s="339"/>
      <c r="DF234" s="339"/>
      <c r="DG234" s="339">
        <f t="shared" si="121"/>
        <v>0</v>
      </c>
      <c r="DI234" s="339"/>
      <c r="DJ234" s="339"/>
      <c r="DK234" s="339"/>
      <c r="DL234" s="339"/>
      <c r="DM234" s="339"/>
      <c r="DN234" s="339">
        <f t="shared" si="122"/>
        <v>0</v>
      </c>
    </row>
    <row r="235" spans="19:118">
      <c r="S235" s="417"/>
      <c r="T235" s="417"/>
      <c r="V235" s="339"/>
      <c r="W235" s="339"/>
      <c r="X235" s="339"/>
      <c r="Y235" s="339"/>
      <c r="Z235" s="339"/>
      <c r="AA235" s="339">
        <f t="shared" si="109"/>
        <v>0</v>
      </c>
      <c r="AC235" s="339"/>
      <c r="AD235" s="339"/>
      <c r="AE235" s="339"/>
      <c r="AF235" s="339"/>
      <c r="AG235" s="339"/>
      <c r="AH235" s="339">
        <f t="shared" si="110"/>
        <v>0</v>
      </c>
      <c r="AJ235" s="339"/>
      <c r="AK235" s="339"/>
      <c r="AL235" s="339"/>
      <c r="AM235" s="339"/>
      <c r="AN235" s="339"/>
      <c r="AO235" s="339">
        <f t="shared" si="111"/>
        <v>0</v>
      </c>
      <c r="AQ235" s="339"/>
      <c r="AR235" s="339"/>
      <c r="AS235" s="339"/>
      <c r="AT235" s="339"/>
      <c r="AU235" s="339"/>
      <c r="AV235" s="339">
        <f t="shared" si="112"/>
        <v>0</v>
      </c>
      <c r="AX235" s="339"/>
      <c r="AY235" s="339"/>
      <c r="AZ235" s="339"/>
      <c r="BA235" s="339"/>
      <c r="BB235" s="339"/>
      <c r="BC235" s="339">
        <f t="shared" si="113"/>
        <v>0</v>
      </c>
      <c r="BE235" s="339"/>
      <c r="BF235" s="339"/>
      <c r="BG235" s="339"/>
      <c r="BH235" s="339"/>
      <c r="BI235" s="339"/>
      <c r="BJ235" s="339">
        <f t="shared" si="114"/>
        <v>0</v>
      </c>
      <c r="BL235" s="339"/>
      <c r="BM235" s="339"/>
      <c r="BN235" s="339"/>
      <c r="BO235" s="339"/>
      <c r="BP235" s="339"/>
      <c r="BQ235" s="339">
        <f t="shared" si="115"/>
        <v>0</v>
      </c>
      <c r="BS235" s="339"/>
      <c r="BT235" s="339"/>
      <c r="BU235" s="339"/>
      <c r="BV235" s="339"/>
      <c r="BW235" s="339"/>
      <c r="BX235" s="339">
        <f t="shared" si="116"/>
        <v>0</v>
      </c>
      <c r="BZ235" s="339"/>
      <c r="CA235" s="339"/>
      <c r="CB235" s="339"/>
      <c r="CC235" s="339"/>
      <c r="CD235" s="339"/>
      <c r="CE235" s="339">
        <f t="shared" si="117"/>
        <v>0</v>
      </c>
      <c r="CG235" s="339"/>
      <c r="CH235" s="339"/>
      <c r="CI235" s="339"/>
      <c r="CJ235" s="339"/>
      <c r="CK235" s="339"/>
      <c r="CL235" s="339">
        <f t="shared" si="118"/>
        <v>0</v>
      </c>
      <c r="CN235" s="339"/>
      <c r="CO235" s="339"/>
      <c r="CP235" s="339"/>
      <c r="CQ235" s="339"/>
      <c r="CR235" s="339"/>
      <c r="CS235" s="339">
        <f t="shared" si="119"/>
        <v>0</v>
      </c>
      <c r="CU235" s="339"/>
      <c r="CV235" s="339"/>
      <c r="CW235" s="339"/>
      <c r="CX235" s="339"/>
      <c r="CY235" s="339"/>
      <c r="CZ235" s="339">
        <f t="shared" si="120"/>
        <v>0</v>
      </c>
      <c r="DB235" s="339"/>
      <c r="DC235" s="339"/>
      <c r="DD235" s="339"/>
      <c r="DE235" s="339"/>
      <c r="DF235" s="339"/>
      <c r="DG235" s="339">
        <f t="shared" si="121"/>
        <v>0</v>
      </c>
      <c r="DI235" s="339"/>
      <c r="DJ235" s="339"/>
      <c r="DK235" s="339"/>
      <c r="DL235" s="339"/>
      <c r="DM235" s="339"/>
      <c r="DN235" s="339">
        <f t="shared" si="122"/>
        <v>0</v>
      </c>
    </row>
    <row r="236" spans="19:118">
      <c r="S236" s="417"/>
      <c r="T236" s="417"/>
      <c r="V236" s="339"/>
      <c r="W236" s="339"/>
      <c r="X236" s="339"/>
      <c r="Y236" s="339"/>
      <c r="Z236" s="339"/>
      <c r="AA236" s="339">
        <f t="shared" si="109"/>
        <v>0</v>
      </c>
      <c r="AC236" s="339"/>
      <c r="AD236" s="339"/>
      <c r="AE236" s="339"/>
      <c r="AF236" s="339"/>
      <c r="AG236" s="339"/>
      <c r="AH236" s="339">
        <f t="shared" si="110"/>
        <v>0</v>
      </c>
      <c r="AJ236" s="339"/>
      <c r="AK236" s="339"/>
      <c r="AL236" s="339"/>
      <c r="AM236" s="339"/>
      <c r="AN236" s="339"/>
      <c r="AO236" s="339">
        <f t="shared" si="111"/>
        <v>0</v>
      </c>
      <c r="AQ236" s="339"/>
      <c r="AR236" s="339"/>
      <c r="AS236" s="339"/>
      <c r="AT236" s="339"/>
      <c r="AU236" s="339"/>
      <c r="AV236" s="339">
        <f t="shared" si="112"/>
        <v>0</v>
      </c>
      <c r="AX236" s="339"/>
      <c r="AY236" s="339"/>
      <c r="AZ236" s="339"/>
      <c r="BA236" s="339"/>
      <c r="BB236" s="339"/>
      <c r="BC236" s="339">
        <f t="shared" si="113"/>
        <v>0</v>
      </c>
      <c r="BE236" s="339"/>
      <c r="BF236" s="339"/>
      <c r="BG236" s="339"/>
      <c r="BH236" s="339"/>
      <c r="BI236" s="339"/>
      <c r="BJ236" s="339">
        <f t="shared" si="114"/>
        <v>0</v>
      </c>
      <c r="BL236" s="339"/>
      <c r="BM236" s="339"/>
      <c r="BN236" s="339"/>
      <c r="BO236" s="339"/>
      <c r="BP236" s="339"/>
      <c r="BQ236" s="339">
        <f t="shared" si="115"/>
        <v>0</v>
      </c>
      <c r="BS236" s="339"/>
      <c r="BT236" s="339"/>
      <c r="BU236" s="339"/>
      <c r="BV236" s="339"/>
      <c r="BW236" s="339"/>
      <c r="BX236" s="339">
        <f t="shared" si="116"/>
        <v>0</v>
      </c>
      <c r="BZ236" s="339"/>
      <c r="CA236" s="339"/>
      <c r="CB236" s="339"/>
      <c r="CC236" s="339"/>
      <c r="CD236" s="339"/>
      <c r="CE236" s="339">
        <f t="shared" si="117"/>
        <v>0</v>
      </c>
      <c r="CG236" s="339"/>
      <c r="CH236" s="339"/>
      <c r="CI236" s="339"/>
      <c r="CJ236" s="339"/>
      <c r="CK236" s="339"/>
      <c r="CL236" s="339">
        <f t="shared" si="118"/>
        <v>0</v>
      </c>
      <c r="CN236" s="339"/>
      <c r="CO236" s="339"/>
      <c r="CP236" s="339"/>
      <c r="CQ236" s="339"/>
      <c r="CR236" s="339"/>
      <c r="CS236" s="339">
        <f t="shared" si="119"/>
        <v>0</v>
      </c>
      <c r="CU236" s="339"/>
      <c r="CV236" s="339"/>
      <c r="CW236" s="339"/>
      <c r="CX236" s="339"/>
      <c r="CY236" s="339"/>
      <c r="CZ236" s="339">
        <f t="shared" si="120"/>
        <v>0</v>
      </c>
      <c r="DB236" s="339"/>
      <c r="DC236" s="339"/>
      <c r="DD236" s="339"/>
      <c r="DE236" s="339"/>
      <c r="DF236" s="339"/>
      <c r="DG236" s="339">
        <f t="shared" si="121"/>
        <v>0</v>
      </c>
      <c r="DI236" s="339"/>
      <c r="DJ236" s="339"/>
      <c r="DK236" s="339"/>
      <c r="DL236" s="339"/>
      <c r="DM236" s="339"/>
      <c r="DN236" s="339">
        <f t="shared" si="122"/>
        <v>0</v>
      </c>
    </row>
    <row r="237" spans="19:118">
      <c r="S237" s="417"/>
      <c r="T237" s="417"/>
      <c r="V237" s="339"/>
      <c r="W237" s="339"/>
      <c r="X237" s="339"/>
      <c r="Y237" s="339"/>
      <c r="Z237" s="339"/>
      <c r="AA237" s="339">
        <f t="shared" si="109"/>
        <v>0</v>
      </c>
      <c r="AC237" s="339"/>
      <c r="AD237" s="339"/>
      <c r="AE237" s="339"/>
      <c r="AF237" s="339"/>
      <c r="AG237" s="339"/>
      <c r="AH237" s="339">
        <f t="shared" si="110"/>
        <v>0</v>
      </c>
      <c r="AJ237" s="339"/>
      <c r="AK237" s="339"/>
      <c r="AL237" s="339"/>
      <c r="AM237" s="339"/>
      <c r="AN237" s="339"/>
      <c r="AO237" s="339">
        <f t="shared" si="111"/>
        <v>0</v>
      </c>
      <c r="AQ237" s="339"/>
      <c r="AR237" s="339"/>
      <c r="AS237" s="339"/>
      <c r="AT237" s="339"/>
      <c r="AU237" s="339"/>
      <c r="AV237" s="339">
        <f t="shared" si="112"/>
        <v>0</v>
      </c>
      <c r="AX237" s="339"/>
      <c r="AY237" s="339"/>
      <c r="AZ237" s="339"/>
      <c r="BA237" s="339"/>
      <c r="BB237" s="339"/>
      <c r="BC237" s="339">
        <f t="shared" si="113"/>
        <v>0</v>
      </c>
      <c r="BE237" s="339"/>
      <c r="BF237" s="339"/>
      <c r="BG237" s="339"/>
      <c r="BH237" s="339"/>
      <c r="BI237" s="339"/>
      <c r="BJ237" s="339">
        <f t="shared" si="114"/>
        <v>0</v>
      </c>
      <c r="BL237" s="339"/>
      <c r="BM237" s="339"/>
      <c r="BN237" s="339"/>
      <c r="BO237" s="339"/>
      <c r="BP237" s="339"/>
      <c r="BQ237" s="339">
        <f t="shared" si="115"/>
        <v>0</v>
      </c>
      <c r="BS237" s="339"/>
      <c r="BT237" s="339"/>
      <c r="BU237" s="339"/>
      <c r="BV237" s="339"/>
      <c r="BW237" s="339"/>
      <c r="BX237" s="339">
        <f t="shared" si="116"/>
        <v>0</v>
      </c>
      <c r="BZ237" s="339"/>
      <c r="CA237" s="339"/>
      <c r="CB237" s="339"/>
      <c r="CC237" s="339"/>
      <c r="CD237" s="339"/>
      <c r="CE237" s="339">
        <f t="shared" si="117"/>
        <v>0</v>
      </c>
      <c r="CG237" s="339"/>
      <c r="CH237" s="339"/>
      <c r="CI237" s="339"/>
      <c r="CJ237" s="339"/>
      <c r="CK237" s="339"/>
      <c r="CL237" s="339">
        <f t="shared" si="118"/>
        <v>0</v>
      </c>
      <c r="CN237" s="339"/>
      <c r="CO237" s="339"/>
      <c r="CP237" s="339"/>
      <c r="CQ237" s="339"/>
      <c r="CR237" s="339"/>
      <c r="CS237" s="339">
        <f t="shared" si="119"/>
        <v>0</v>
      </c>
      <c r="CU237" s="339"/>
      <c r="CV237" s="339"/>
      <c r="CW237" s="339"/>
      <c r="CX237" s="339"/>
      <c r="CY237" s="339"/>
      <c r="CZ237" s="339">
        <f t="shared" si="120"/>
        <v>0</v>
      </c>
      <c r="DB237" s="339"/>
      <c r="DC237" s="339"/>
      <c r="DD237" s="339"/>
      <c r="DE237" s="339"/>
      <c r="DF237" s="339"/>
      <c r="DG237" s="339">
        <f t="shared" si="121"/>
        <v>0</v>
      </c>
      <c r="DI237" s="339"/>
      <c r="DJ237" s="339"/>
      <c r="DK237" s="339"/>
      <c r="DL237" s="339"/>
      <c r="DM237" s="339"/>
      <c r="DN237" s="339">
        <f t="shared" si="122"/>
        <v>0</v>
      </c>
    </row>
    <row r="238" spans="19:118">
      <c r="S238" s="417"/>
      <c r="T238" s="417"/>
      <c r="V238" s="339"/>
      <c r="W238" s="339"/>
      <c r="X238" s="339"/>
      <c r="Y238" s="339"/>
      <c r="Z238" s="339"/>
      <c r="AA238" s="339">
        <f t="shared" si="109"/>
        <v>0</v>
      </c>
      <c r="AC238" s="339"/>
      <c r="AD238" s="339"/>
      <c r="AE238" s="339"/>
      <c r="AF238" s="339"/>
      <c r="AG238" s="339"/>
      <c r="AH238" s="339">
        <f t="shared" si="110"/>
        <v>0</v>
      </c>
      <c r="AJ238" s="339"/>
      <c r="AK238" s="339"/>
      <c r="AL238" s="339"/>
      <c r="AM238" s="339"/>
      <c r="AN238" s="339"/>
      <c r="AO238" s="339">
        <f t="shared" si="111"/>
        <v>0</v>
      </c>
      <c r="AQ238" s="339"/>
      <c r="AR238" s="339"/>
      <c r="AS238" s="339"/>
      <c r="AT238" s="339"/>
      <c r="AU238" s="339"/>
      <c r="AV238" s="339">
        <f t="shared" si="112"/>
        <v>0</v>
      </c>
      <c r="AX238" s="339"/>
      <c r="AY238" s="339"/>
      <c r="AZ238" s="339"/>
      <c r="BA238" s="339"/>
      <c r="BB238" s="339"/>
      <c r="BC238" s="339">
        <f t="shared" si="113"/>
        <v>0</v>
      </c>
      <c r="BE238" s="339"/>
      <c r="BF238" s="339"/>
      <c r="BG238" s="339"/>
      <c r="BH238" s="339"/>
      <c r="BI238" s="339"/>
      <c r="BJ238" s="339">
        <f t="shared" si="114"/>
        <v>0</v>
      </c>
      <c r="BL238" s="339"/>
      <c r="BM238" s="339"/>
      <c r="BN238" s="339"/>
      <c r="BO238" s="339"/>
      <c r="BP238" s="339"/>
      <c r="BQ238" s="339">
        <f t="shared" si="115"/>
        <v>0</v>
      </c>
      <c r="BS238" s="339"/>
      <c r="BT238" s="339"/>
      <c r="BU238" s="339"/>
      <c r="BV238" s="339"/>
      <c r="BW238" s="339"/>
      <c r="BX238" s="339">
        <f t="shared" si="116"/>
        <v>0</v>
      </c>
      <c r="BZ238" s="339"/>
      <c r="CA238" s="339"/>
      <c r="CB238" s="339"/>
      <c r="CC238" s="339"/>
      <c r="CD238" s="339"/>
      <c r="CE238" s="339">
        <f t="shared" si="117"/>
        <v>0</v>
      </c>
      <c r="CG238" s="339"/>
      <c r="CH238" s="339"/>
      <c r="CI238" s="339"/>
      <c r="CJ238" s="339"/>
      <c r="CK238" s="339"/>
      <c r="CL238" s="339">
        <f t="shared" si="118"/>
        <v>0</v>
      </c>
      <c r="CN238" s="339"/>
      <c r="CO238" s="339"/>
      <c r="CP238" s="339"/>
      <c r="CQ238" s="339"/>
      <c r="CR238" s="339"/>
      <c r="CS238" s="339">
        <f t="shared" si="119"/>
        <v>0</v>
      </c>
      <c r="CU238" s="339"/>
      <c r="CV238" s="339"/>
      <c r="CW238" s="339"/>
      <c r="CX238" s="339"/>
      <c r="CY238" s="339"/>
      <c r="CZ238" s="339">
        <f t="shared" si="120"/>
        <v>0</v>
      </c>
      <c r="DB238" s="339"/>
      <c r="DC238" s="339"/>
      <c r="DD238" s="339"/>
      <c r="DE238" s="339"/>
      <c r="DF238" s="339"/>
      <c r="DG238" s="339">
        <f t="shared" si="121"/>
        <v>0</v>
      </c>
      <c r="DI238" s="339"/>
      <c r="DJ238" s="339"/>
      <c r="DK238" s="339"/>
      <c r="DL238" s="339"/>
      <c r="DM238" s="339"/>
      <c r="DN238" s="339">
        <f t="shared" si="122"/>
        <v>0</v>
      </c>
    </row>
    <row r="239" spans="19:118">
      <c r="S239" s="417"/>
      <c r="T239" s="417"/>
      <c r="V239" s="339"/>
      <c r="W239" s="339"/>
      <c r="X239" s="339"/>
      <c r="Y239" s="339"/>
      <c r="Z239" s="339"/>
      <c r="AA239" s="339">
        <f t="shared" si="109"/>
        <v>0</v>
      </c>
      <c r="AC239" s="339"/>
      <c r="AD239" s="339"/>
      <c r="AE239" s="339"/>
      <c r="AF239" s="339"/>
      <c r="AG239" s="339"/>
      <c r="AH239" s="339">
        <f t="shared" si="110"/>
        <v>0</v>
      </c>
      <c r="AJ239" s="339"/>
      <c r="AK239" s="339"/>
      <c r="AL239" s="339"/>
      <c r="AM239" s="339"/>
      <c r="AN239" s="339"/>
      <c r="AO239" s="339">
        <f t="shared" si="111"/>
        <v>0</v>
      </c>
      <c r="AQ239" s="339"/>
      <c r="AR239" s="339"/>
      <c r="AS239" s="339"/>
      <c r="AT239" s="339"/>
      <c r="AU239" s="339"/>
      <c r="AV239" s="339">
        <f t="shared" si="112"/>
        <v>0</v>
      </c>
      <c r="AX239" s="339"/>
      <c r="AY239" s="339"/>
      <c r="AZ239" s="339"/>
      <c r="BA239" s="339"/>
      <c r="BB239" s="339"/>
      <c r="BC239" s="339">
        <f t="shared" si="113"/>
        <v>0</v>
      </c>
      <c r="BE239" s="339"/>
      <c r="BF239" s="339"/>
      <c r="BG239" s="339"/>
      <c r="BH239" s="339"/>
      <c r="BI239" s="339"/>
      <c r="BJ239" s="339">
        <f t="shared" si="114"/>
        <v>0</v>
      </c>
      <c r="BL239" s="339"/>
      <c r="BM239" s="339"/>
      <c r="BN239" s="339"/>
      <c r="BO239" s="339"/>
      <c r="BP239" s="339"/>
      <c r="BQ239" s="339">
        <f t="shared" si="115"/>
        <v>0</v>
      </c>
      <c r="BS239" s="339"/>
      <c r="BT239" s="339"/>
      <c r="BU239" s="339"/>
      <c r="BV239" s="339"/>
      <c r="BW239" s="339"/>
      <c r="BX239" s="339">
        <f t="shared" si="116"/>
        <v>0</v>
      </c>
      <c r="BZ239" s="339"/>
      <c r="CA239" s="339"/>
      <c r="CB239" s="339"/>
      <c r="CC239" s="339"/>
      <c r="CD239" s="339"/>
      <c r="CE239" s="339">
        <f t="shared" si="117"/>
        <v>0</v>
      </c>
      <c r="CG239" s="339"/>
      <c r="CH239" s="339"/>
      <c r="CI239" s="339"/>
      <c r="CJ239" s="339"/>
      <c r="CK239" s="339"/>
      <c r="CL239" s="339">
        <f t="shared" si="118"/>
        <v>0</v>
      </c>
      <c r="CN239" s="339"/>
      <c r="CO239" s="339"/>
      <c r="CP239" s="339"/>
      <c r="CQ239" s="339"/>
      <c r="CR239" s="339"/>
      <c r="CS239" s="339">
        <f t="shared" si="119"/>
        <v>0</v>
      </c>
      <c r="CU239" s="339"/>
      <c r="CV239" s="339"/>
      <c r="CW239" s="339"/>
      <c r="CX239" s="339"/>
      <c r="CY239" s="339"/>
      <c r="CZ239" s="339">
        <f t="shared" si="120"/>
        <v>0</v>
      </c>
      <c r="DB239" s="339"/>
      <c r="DC239" s="339"/>
      <c r="DD239" s="339"/>
      <c r="DE239" s="339"/>
      <c r="DF239" s="339"/>
      <c r="DG239" s="339">
        <f t="shared" si="121"/>
        <v>0</v>
      </c>
      <c r="DI239" s="339"/>
      <c r="DJ239" s="339"/>
      <c r="DK239" s="339"/>
      <c r="DL239" s="339"/>
      <c r="DM239" s="339"/>
      <c r="DN239" s="339">
        <f t="shared" si="122"/>
        <v>0</v>
      </c>
    </row>
    <row r="240" spans="19:118">
      <c r="S240" s="417"/>
      <c r="T240" s="417"/>
      <c r="V240" s="339"/>
      <c r="W240" s="339"/>
      <c r="X240" s="339"/>
      <c r="Y240" s="339"/>
      <c r="Z240" s="339"/>
      <c r="AA240" s="339">
        <f t="shared" si="109"/>
        <v>0</v>
      </c>
      <c r="AC240" s="339"/>
      <c r="AD240" s="339"/>
      <c r="AE240" s="339"/>
      <c r="AF240" s="339"/>
      <c r="AG240" s="339"/>
      <c r="AH240" s="339">
        <f t="shared" si="110"/>
        <v>0</v>
      </c>
      <c r="AJ240" s="339"/>
      <c r="AK240" s="339"/>
      <c r="AL240" s="339"/>
      <c r="AM240" s="339"/>
      <c r="AN240" s="339"/>
      <c r="AO240" s="339">
        <f t="shared" si="111"/>
        <v>0</v>
      </c>
      <c r="AQ240" s="339"/>
      <c r="AR240" s="339"/>
      <c r="AS240" s="339"/>
      <c r="AT240" s="339"/>
      <c r="AU240" s="339"/>
      <c r="AV240" s="339">
        <f t="shared" si="112"/>
        <v>0</v>
      </c>
      <c r="AX240" s="339"/>
      <c r="AY240" s="339"/>
      <c r="AZ240" s="339"/>
      <c r="BA240" s="339"/>
      <c r="BB240" s="339"/>
      <c r="BC240" s="339">
        <f t="shared" si="113"/>
        <v>0</v>
      </c>
      <c r="BE240" s="339"/>
      <c r="BF240" s="339"/>
      <c r="BG240" s="339"/>
      <c r="BH240" s="339"/>
      <c r="BI240" s="339"/>
      <c r="BJ240" s="339">
        <f t="shared" si="114"/>
        <v>0</v>
      </c>
      <c r="BL240" s="339"/>
      <c r="BM240" s="339"/>
      <c r="BN240" s="339"/>
      <c r="BO240" s="339"/>
      <c r="BP240" s="339"/>
      <c r="BQ240" s="339">
        <f t="shared" si="115"/>
        <v>0</v>
      </c>
      <c r="BS240" s="339"/>
      <c r="BT240" s="339"/>
      <c r="BU240" s="339"/>
      <c r="BV240" s="339"/>
      <c r="BW240" s="339"/>
      <c r="BX240" s="339">
        <f t="shared" si="116"/>
        <v>0</v>
      </c>
      <c r="BZ240" s="339"/>
      <c r="CA240" s="339"/>
      <c r="CB240" s="339"/>
      <c r="CC240" s="339"/>
      <c r="CD240" s="339"/>
      <c r="CE240" s="339">
        <f t="shared" si="117"/>
        <v>0</v>
      </c>
      <c r="CG240" s="339"/>
      <c r="CH240" s="339"/>
      <c r="CI240" s="339"/>
      <c r="CJ240" s="339"/>
      <c r="CK240" s="339"/>
      <c r="CL240" s="339">
        <f t="shared" si="118"/>
        <v>0</v>
      </c>
      <c r="CN240" s="339"/>
      <c r="CO240" s="339"/>
      <c r="CP240" s="339"/>
      <c r="CQ240" s="339"/>
      <c r="CR240" s="339"/>
      <c r="CS240" s="339">
        <f t="shared" si="119"/>
        <v>0</v>
      </c>
      <c r="CU240" s="339"/>
      <c r="CV240" s="339"/>
      <c r="CW240" s="339"/>
      <c r="CX240" s="339"/>
      <c r="CY240" s="339"/>
      <c r="CZ240" s="339">
        <f t="shared" si="120"/>
        <v>0</v>
      </c>
      <c r="DB240" s="339"/>
      <c r="DC240" s="339"/>
      <c r="DD240" s="339"/>
      <c r="DE240" s="339"/>
      <c r="DF240" s="339"/>
      <c r="DG240" s="339">
        <f t="shared" si="121"/>
        <v>0</v>
      </c>
      <c r="DI240" s="339"/>
      <c r="DJ240" s="339"/>
      <c r="DK240" s="339"/>
      <c r="DL240" s="339"/>
      <c r="DM240" s="339"/>
      <c r="DN240" s="339">
        <f t="shared" si="122"/>
        <v>0</v>
      </c>
    </row>
    <row r="241" spans="19:118">
      <c r="S241" s="417"/>
      <c r="T241" s="417"/>
      <c r="V241" s="339"/>
      <c r="W241" s="339"/>
      <c r="X241" s="339"/>
      <c r="Y241" s="339"/>
      <c r="Z241" s="339"/>
      <c r="AA241" s="339">
        <f t="shared" si="109"/>
        <v>0</v>
      </c>
      <c r="AC241" s="339"/>
      <c r="AD241" s="339"/>
      <c r="AE241" s="339"/>
      <c r="AF241" s="339"/>
      <c r="AG241" s="339"/>
      <c r="AH241" s="339">
        <f t="shared" si="110"/>
        <v>0</v>
      </c>
      <c r="AJ241" s="339"/>
      <c r="AK241" s="339"/>
      <c r="AL241" s="339"/>
      <c r="AM241" s="339"/>
      <c r="AN241" s="339"/>
      <c r="AO241" s="339">
        <f t="shared" si="111"/>
        <v>0</v>
      </c>
      <c r="AQ241" s="339"/>
      <c r="AR241" s="339"/>
      <c r="AS241" s="339"/>
      <c r="AT241" s="339"/>
      <c r="AU241" s="339"/>
      <c r="AV241" s="339">
        <f t="shared" si="112"/>
        <v>0</v>
      </c>
      <c r="AX241" s="339"/>
      <c r="AY241" s="339"/>
      <c r="AZ241" s="339"/>
      <c r="BA241" s="339"/>
      <c r="BB241" s="339"/>
      <c r="BC241" s="339">
        <f t="shared" si="113"/>
        <v>0</v>
      </c>
      <c r="BE241" s="339"/>
      <c r="BF241" s="339"/>
      <c r="BG241" s="339"/>
      <c r="BH241" s="339"/>
      <c r="BI241" s="339"/>
      <c r="BJ241" s="339">
        <f t="shared" si="114"/>
        <v>0</v>
      </c>
      <c r="BL241" s="339"/>
      <c r="BM241" s="339"/>
      <c r="BN241" s="339"/>
      <c r="BO241" s="339"/>
      <c r="BP241" s="339"/>
      <c r="BQ241" s="339">
        <f t="shared" si="115"/>
        <v>0</v>
      </c>
      <c r="BS241" s="339"/>
      <c r="BT241" s="339"/>
      <c r="BU241" s="339"/>
      <c r="BV241" s="339"/>
      <c r="BW241" s="339"/>
      <c r="BX241" s="339">
        <f t="shared" si="116"/>
        <v>0</v>
      </c>
      <c r="BZ241" s="339"/>
      <c r="CA241" s="339"/>
      <c r="CB241" s="339"/>
      <c r="CC241" s="339"/>
      <c r="CD241" s="339"/>
      <c r="CE241" s="339">
        <f t="shared" si="117"/>
        <v>0</v>
      </c>
      <c r="CG241" s="339"/>
      <c r="CH241" s="339"/>
      <c r="CI241" s="339"/>
      <c r="CJ241" s="339"/>
      <c r="CK241" s="339"/>
      <c r="CL241" s="339">
        <f t="shared" si="118"/>
        <v>0</v>
      </c>
      <c r="CN241" s="339"/>
      <c r="CO241" s="339"/>
      <c r="CP241" s="339"/>
      <c r="CQ241" s="339"/>
      <c r="CR241" s="339"/>
      <c r="CS241" s="339">
        <f t="shared" si="119"/>
        <v>0</v>
      </c>
      <c r="CU241" s="339"/>
      <c r="CV241" s="339"/>
      <c r="CW241" s="339"/>
      <c r="CX241" s="339"/>
      <c r="CY241" s="339"/>
      <c r="CZ241" s="339">
        <f t="shared" si="120"/>
        <v>0</v>
      </c>
      <c r="DB241" s="339"/>
      <c r="DC241" s="339"/>
      <c r="DD241" s="339"/>
      <c r="DE241" s="339"/>
      <c r="DF241" s="339"/>
      <c r="DG241" s="339">
        <f t="shared" si="121"/>
        <v>0</v>
      </c>
      <c r="DI241" s="339"/>
      <c r="DJ241" s="339"/>
      <c r="DK241" s="339"/>
      <c r="DL241" s="339"/>
      <c r="DM241" s="339"/>
      <c r="DN241" s="339">
        <f t="shared" si="122"/>
        <v>0</v>
      </c>
    </row>
    <row r="242" spans="19:118">
      <c r="S242" s="417"/>
      <c r="T242" s="417"/>
      <c r="V242" s="339"/>
      <c r="W242" s="339"/>
      <c r="X242" s="339"/>
      <c r="Y242" s="339"/>
      <c r="Z242" s="339"/>
      <c r="AA242" s="339">
        <f t="shared" si="109"/>
        <v>0</v>
      </c>
      <c r="AC242" s="339"/>
      <c r="AD242" s="339"/>
      <c r="AE242" s="339"/>
      <c r="AF242" s="339"/>
      <c r="AG242" s="339"/>
      <c r="AH242" s="339">
        <f t="shared" si="110"/>
        <v>0</v>
      </c>
      <c r="AJ242" s="339"/>
      <c r="AK242" s="339"/>
      <c r="AL242" s="339"/>
      <c r="AM242" s="339"/>
      <c r="AN242" s="339"/>
      <c r="AO242" s="339">
        <f t="shared" si="111"/>
        <v>0</v>
      </c>
      <c r="AQ242" s="339"/>
      <c r="AR242" s="339"/>
      <c r="AS242" s="339"/>
      <c r="AT242" s="339"/>
      <c r="AU242" s="339"/>
      <c r="AV242" s="339">
        <f t="shared" si="112"/>
        <v>0</v>
      </c>
      <c r="AX242" s="339"/>
      <c r="AY242" s="339"/>
      <c r="AZ242" s="339"/>
      <c r="BA242" s="339"/>
      <c r="BB242" s="339"/>
      <c r="BC242" s="339">
        <f t="shared" si="113"/>
        <v>0</v>
      </c>
      <c r="BE242" s="339"/>
      <c r="BF242" s="339"/>
      <c r="BG242" s="339"/>
      <c r="BH242" s="339"/>
      <c r="BI242" s="339"/>
      <c r="BJ242" s="339">
        <f t="shared" si="114"/>
        <v>0</v>
      </c>
      <c r="BL242" s="339"/>
      <c r="BM242" s="339"/>
      <c r="BN242" s="339"/>
      <c r="BO242" s="339"/>
      <c r="BP242" s="339"/>
      <c r="BQ242" s="339">
        <f t="shared" si="115"/>
        <v>0</v>
      </c>
      <c r="BS242" s="339"/>
      <c r="BT242" s="339"/>
      <c r="BU242" s="339"/>
      <c r="BV242" s="339"/>
      <c r="BW242" s="339"/>
      <c r="BX242" s="339">
        <f t="shared" si="116"/>
        <v>0</v>
      </c>
      <c r="BZ242" s="339"/>
      <c r="CA242" s="339"/>
      <c r="CB242" s="339"/>
      <c r="CC242" s="339"/>
      <c r="CD242" s="339"/>
      <c r="CE242" s="339">
        <f t="shared" si="117"/>
        <v>0</v>
      </c>
      <c r="CG242" s="339"/>
      <c r="CH242" s="339"/>
      <c r="CI242" s="339"/>
      <c r="CJ242" s="339"/>
      <c r="CK242" s="339"/>
      <c r="CL242" s="339">
        <f t="shared" si="118"/>
        <v>0</v>
      </c>
      <c r="CN242" s="339"/>
      <c r="CO242" s="339"/>
      <c r="CP242" s="339"/>
      <c r="CQ242" s="339"/>
      <c r="CR242" s="339"/>
      <c r="CS242" s="339">
        <f t="shared" si="119"/>
        <v>0</v>
      </c>
      <c r="CU242" s="339"/>
      <c r="CV242" s="339"/>
      <c r="CW242" s="339"/>
      <c r="CX242" s="339"/>
      <c r="CY242" s="339"/>
      <c r="CZ242" s="339">
        <f t="shared" si="120"/>
        <v>0</v>
      </c>
      <c r="DB242" s="339"/>
      <c r="DC242" s="339"/>
      <c r="DD242" s="339"/>
      <c r="DE242" s="339"/>
      <c r="DF242" s="339"/>
      <c r="DG242" s="339">
        <f t="shared" si="121"/>
        <v>0</v>
      </c>
      <c r="DI242" s="339"/>
      <c r="DJ242" s="339"/>
      <c r="DK242" s="339"/>
      <c r="DL242" s="339"/>
      <c r="DM242" s="339"/>
      <c r="DN242" s="339">
        <f t="shared" si="122"/>
        <v>0</v>
      </c>
    </row>
    <row r="243" spans="19:118">
      <c r="S243" s="417"/>
      <c r="T243" s="417"/>
      <c r="V243" s="339"/>
      <c r="W243" s="339"/>
      <c r="X243" s="339"/>
      <c r="Y243" s="339"/>
      <c r="Z243" s="339"/>
      <c r="AA243" s="339">
        <f t="shared" si="109"/>
        <v>0</v>
      </c>
      <c r="AC243" s="339"/>
      <c r="AD243" s="339"/>
      <c r="AE243" s="339"/>
      <c r="AF243" s="339"/>
      <c r="AG243" s="339"/>
      <c r="AH243" s="339">
        <f t="shared" si="110"/>
        <v>0</v>
      </c>
      <c r="AJ243" s="339"/>
      <c r="AK243" s="339"/>
      <c r="AL243" s="339"/>
      <c r="AM243" s="339"/>
      <c r="AN243" s="339"/>
      <c r="AO243" s="339">
        <f t="shared" si="111"/>
        <v>0</v>
      </c>
      <c r="AQ243" s="339"/>
      <c r="AR243" s="339"/>
      <c r="AS243" s="339"/>
      <c r="AT243" s="339"/>
      <c r="AU243" s="339"/>
      <c r="AV243" s="339">
        <f t="shared" si="112"/>
        <v>0</v>
      </c>
      <c r="AX243" s="339"/>
      <c r="AY243" s="339"/>
      <c r="AZ243" s="339"/>
      <c r="BA243" s="339"/>
      <c r="BB243" s="339"/>
      <c r="BC243" s="339">
        <f t="shared" si="113"/>
        <v>0</v>
      </c>
      <c r="BE243" s="339"/>
      <c r="BF243" s="339"/>
      <c r="BG243" s="339"/>
      <c r="BH243" s="339"/>
      <c r="BI243" s="339"/>
      <c r="BJ243" s="339">
        <f t="shared" si="114"/>
        <v>0</v>
      </c>
      <c r="BL243" s="339"/>
      <c r="BM243" s="339"/>
      <c r="BN243" s="339"/>
      <c r="BO243" s="339"/>
      <c r="BP243" s="339"/>
      <c r="BQ243" s="339">
        <f t="shared" si="115"/>
        <v>0</v>
      </c>
      <c r="BS243" s="339"/>
      <c r="BT243" s="339"/>
      <c r="BU243" s="339"/>
      <c r="BV243" s="339"/>
      <c r="BW243" s="339"/>
      <c r="BX243" s="339">
        <f t="shared" si="116"/>
        <v>0</v>
      </c>
      <c r="BZ243" s="339"/>
      <c r="CA243" s="339"/>
      <c r="CB243" s="339"/>
      <c r="CC243" s="339"/>
      <c r="CD243" s="339"/>
      <c r="CE243" s="339">
        <f t="shared" si="117"/>
        <v>0</v>
      </c>
      <c r="CG243" s="339"/>
      <c r="CH243" s="339"/>
      <c r="CI243" s="339"/>
      <c r="CJ243" s="339"/>
      <c r="CK243" s="339"/>
      <c r="CL243" s="339">
        <f t="shared" si="118"/>
        <v>0</v>
      </c>
      <c r="CN243" s="339"/>
      <c r="CO243" s="339"/>
      <c r="CP243" s="339"/>
      <c r="CQ243" s="339"/>
      <c r="CR243" s="339"/>
      <c r="CS243" s="339">
        <f t="shared" si="119"/>
        <v>0</v>
      </c>
      <c r="CU243" s="339"/>
      <c r="CV243" s="339"/>
      <c r="CW243" s="339"/>
      <c r="CX243" s="339"/>
      <c r="CY243" s="339"/>
      <c r="CZ243" s="339">
        <f t="shared" si="120"/>
        <v>0</v>
      </c>
      <c r="DB243" s="339"/>
      <c r="DC243" s="339"/>
      <c r="DD243" s="339"/>
      <c r="DE243" s="339"/>
      <c r="DF243" s="339"/>
      <c r="DG243" s="339">
        <f t="shared" si="121"/>
        <v>0</v>
      </c>
      <c r="DI243" s="339"/>
      <c r="DJ243" s="339"/>
      <c r="DK243" s="339"/>
      <c r="DL243" s="339"/>
      <c r="DM243" s="339"/>
      <c r="DN243" s="339">
        <f t="shared" si="122"/>
        <v>0</v>
      </c>
    </row>
    <row r="244" spans="19:118">
      <c r="S244" s="417"/>
      <c r="T244" s="417"/>
      <c r="V244" s="339"/>
      <c r="W244" s="339"/>
      <c r="X244" s="339"/>
      <c r="Y244" s="339"/>
      <c r="Z244" s="339"/>
      <c r="AA244" s="339">
        <f t="shared" si="109"/>
        <v>0</v>
      </c>
      <c r="AC244" s="339"/>
      <c r="AD244" s="339"/>
      <c r="AE244" s="339"/>
      <c r="AF244" s="339"/>
      <c r="AG244" s="339"/>
      <c r="AH244" s="339">
        <f t="shared" si="110"/>
        <v>0</v>
      </c>
      <c r="AJ244" s="339"/>
      <c r="AK244" s="339"/>
      <c r="AL244" s="339"/>
      <c r="AM244" s="339"/>
      <c r="AN244" s="339"/>
      <c r="AO244" s="339">
        <f t="shared" si="111"/>
        <v>0</v>
      </c>
      <c r="AQ244" s="339"/>
      <c r="AR244" s="339"/>
      <c r="AS244" s="339"/>
      <c r="AT244" s="339"/>
      <c r="AU244" s="339"/>
      <c r="AV244" s="339">
        <f t="shared" si="112"/>
        <v>0</v>
      </c>
      <c r="AX244" s="339"/>
      <c r="AY244" s="339"/>
      <c r="AZ244" s="339"/>
      <c r="BA244" s="339"/>
      <c r="BB244" s="339"/>
      <c r="BC244" s="339">
        <f t="shared" si="113"/>
        <v>0</v>
      </c>
      <c r="BE244" s="339"/>
      <c r="BF244" s="339"/>
      <c r="BG244" s="339"/>
      <c r="BH244" s="339"/>
      <c r="BI244" s="339"/>
      <c r="BJ244" s="339">
        <f t="shared" si="114"/>
        <v>0</v>
      </c>
      <c r="BL244" s="339"/>
      <c r="BM244" s="339"/>
      <c r="BN244" s="339"/>
      <c r="BO244" s="339"/>
      <c r="BP244" s="339"/>
      <c r="BQ244" s="339">
        <f t="shared" si="115"/>
        <v>0</v>
      </c>
      <c r="BS244" s="339"/>
      <c r="BT244" s="339"/>
      <c r="BU244" s="339"/>
      <c r="BV244" s="339"/>
      <c r="BW244" s="339"/>
      <c r="BX244" s="339">
        <f t="shared" si="116"/>
        <v>0</v>
      </c>
      <c r="BZ244" s="339"/>
      <c r="CA244" s="339"/>
      <c r="CB244" s="339"/>
      <c r="CC244" s="339"/>
      <c r="CD244" s="339"/>
      <c r="CE244" s="339">
        <f t="shared" si="117"/>
        <v>0</v>
      </c>
      <c r="CG244" s="339"/>
      <c r="CH244" s="339"/>
      <c r="CI244" s="339"/>
      <c r="CJ244" s="339"/>
      <c r="CK244" s="339"/>
      <c r="CL244" s="339">
        <f t="shared" si="118"/>
        <v>0</v>
      </c>
      <c r="CN244" s="339"/>
      <c r="CO244" s="339"/>
      <c r="CP244" s="339"/>
      <c r="CQ244" s="339"/>
      <c r="CR244" s="339"/>
      <c r="CS244" s="339">
        <f t="shared" si="119"/>
        <v>0</v>
      </c>
      <c r="CU244" s="339"/>
      <c r="CV244" s="339"/>
      <c r="CW244" s="339"/>
      <c r="CX244" s="339"/>
      <c r="CY244" s="339"/>
      <c r="CZ244" s="339">
        <f t="shared" si="120"/>
        <v>0</v>
      </c>
      <c r="DB244" s="339"/>
      <c r="DC244" s="339"/>
      <c r="DD244" s="339"/>
      <c r="DE244" s="339"/>
      <c r="DF244" s="339"/>
      <c r="DG244" s="339">
        <f t="shared" si="121"/>
        <v>0</v>
      </c>
      <c r="DI244" s="339"/>
      <c r="DJ244" s="339"/>
      <c r="DK244" s="339"/>
      <c r="DL244" s="339"/>
      <c r="DM244" s="339"/>
      <c r="DN244" s="339">
        <f t="shared" si="122"/>
        <v>0</v>
      </c>
    </row>
    <row r="245" spans="19:118">
      <c r="S245" s="417"/>
      <c r="T245" s="417"/>
      <c r="V245" s="339"/>
      <c r="W245" s="339"/>
      <c r="X245" s="339"/>
      <c r="Y245" s="339"/>
      <c r="Z245" s="339"/>
      <c r="AA245" s="339">
        <f t="shared" si="109"/>
        <v>0</v>
      </c>
      <c r="AC245" s="339"/>
      <c r="AD245" s="339"/>
      <c r="AE245" s="339"/>
      <c r="AF245" s="339"/>
      <c r="AG245" s="339"/>
      <c r="AH245" s="339">
        <f t="shared" si="110"/>
        <v>0</v>
      </c>
      <c r="AJ245" s="339"/>
      <c r="AK245" s="339"/>
      <c r="AL245" s="339"/>
      <c r="AM245" s="339"/>
      <c r="AN245" s="339"/>
      <c r="AO245" s="339">
        <f t="shared" si="111"/>
        <v>0</v>
      </c>
      <c r="AQ245" s="339"/>
      <c r="AR245" s="339"/>
      <c r="AS245" s="339"/>
      <c r="AT245" s="339"/>
      <c r="AU245" s="339"/>
      <c r="AV245" s="339">
        <f t="shared" si="112"/>
        <v>0</v>
      </c>
      <c r="AX245" s="339"/>
      <c r="AY245" s="339"/>
      <c r="AZ245" s="339"/>
      <c r="BA245" s="339"/>
      <c r="BB245" s="339"/>
      <c r="BC245" s="339">
        <f t="shared" si="113"/>
        <v>0</v>
      </c>
      <c r="BE245" s="339"/>
      <c r="BF245" s="339"/>
      <c r="BG245" s="339"/>
      <c r="BH245" s="339"/>
      <c r="BI245" s="339"/>
      <c r="BJ245" s="339">
        <f t="shared" si="114"/>
        <v>0</v>
      </c>
      <c r="BL245" s="339"/>
      <c r="BM245" s="339"/>
      <c r="BN245" s="339"/>
      <c r="BO245" s="339"/>
      <c r="BP245" s="339"/>
      <c r="BQ245" s="339">
        <f t="shared" si="115"/>
        <v>0</v>
      </c>
      <c r="BS245" s="339"/>
      <c r="BT245" s="339"/>
      <c r="BU245" s="339"/>
      <c r="BV245" s="339"/>
      <c r="BW245" s="339"/>
      <c r="BX245" s="339">
        <f t="shared" si="116"/>
        <v>0</v>
      </c>
      <c r="BZ245" s="339"/>
      <c r="CA245" s="339"/>
      <c r="CB245" s="339"/>
      <c r="CC245" s="339"/>
      <c r="CD245" s="339"/>
      <c r="CE245" s="339">
        <f t="shared" si="117"/>
        <v>0</v>
      </c>
      <c r="CG245" s="339"/>
      <c r="CH245" s="339"/>
      <c r="CI245" s="339"/>
      <c r="CJ245" s="339"/>
      <c r="CK245" s="339"/>
      <c r="CL245" s="339">
        <f t="shared" si="118"/>
        <v>0</v>
      </c>
      <c r="CN245" s="339"/>
      <c r="CO245" s="339"/>
      <c r="CP245" s="339"/>
      <c r="CQ245" s="339"/>
      <c r="CR245" s="339"/>
      <c r="CS245" s="339">
        <f t="shared" si="119"/>
        <v>0</v>
      </c>
      <c r="CU245" s="339"/>
      <c r="CV245" s="339"/>
      <c r="CW245" s="339"/>
      <c r="CX245" s="339"/>
      <c r="CY245" s="339"/>
      <c r="CZ245" s="339">
        <f t="shared" si="120"/>
        <v>0</v>
      </c>
      <c r="DB245" s="339"/>
      <c r="DC245" s="339"/>
      <c r="DD245" s="339"/>
      <c r="DE245" s="339"/>
      <c r="DF245" s="339"/>
      <c r="DG245" s="339">
        <f t="shared" si="121"/>
        <v>0</v>
      </c>
      <c r="DI245" s="339"/>
      <c r="DJ245" s="339"/>
      <c r="DK245" s="339"/>
      <c r="DL245" s="339"/>
      <c r="DM245" s="339"/>
      <c r="DN245" s="339">
        <f t="shared" si="122"/>
        <v>0</v>
      </c>
    </row>
    <row r="246" spans="19:118">
      <c r="S246" s="417"/>
      <c r="T246" s="417"/>
      <c r="V246" s="339"/>
      <c r="W246" s="339"/>
      <c r="X246" s="339"/>
      <c r="Y246" s="339"/>
      <c r="Z246" s="339"/>
      <c r="AA246" s="339">
        <f t="shared" si="109"/>
        <v>0</v>
      </c>
      <c r="AC246" s="339"/>
      <c r="AD246" s="339"/>
      <c r="AE246" s="339"/>
      <c r="AF246" s="339"/>
      <c r="AG246" s="339"/>
      <c r="AH246" s="339">
        <f t="shared" si="110"/>
        <v>0</v>
      </c>
      <c r="AJ246" s="339"/>
      <c r="AK246" s="339"/>
      <c r="AL246" s="339"/>
      <c r="AM246" s="339"/>
      <c r="AN246" s="339"/>
      <c r="AO246" s="339">
        <f t="shared" si="111"/>
        <v>0</v>
      </c>
      <c r="AQ246" s="339"/>
      <c r="AR246" s="339"/>
      <c r="AS246" s="339"/>
      <c r="AT246" s="339"/>
      <c r="AU246" s="339"/>
      <c r="AV246" s="339">
        <f t="shared" si="112"/>
        <v>0</v>
      </c>
      <c r="AX246" s="339"/>
      <c r="AY246" s="339"/>
      <c r="AZ246" s="339"/>
      <c r="BA246" s="339"/>
      <c r="BB246" s="339"/>
      <c r="BC246" s="339">
        <f t="shared" si="113"/>
        <v>0</v>
      </c>
      <c r="BE246" s="339"/>
      <c r="BF246" s="339"/>
      <c r="BG246" s="339"/>
      <c r="BH246" s="339"/>
      <c r="BI246" s="339"/>
      <c r="BJ246" s="339">
        <f t="shared" si="114"/>
        <v>0</v>
      </c>
      <c r="BL246" s="339"/>
      <c r="BM246" s="339"/>
      <c r="BN246" s="339"/>
      <c r="BO246" s="339"/>
      <c r="BP246" s="339"/>
      <c r="BQ246" s="339">
        <f t="shared" si="115"/>
        <v>0</v>
      </c>
      <c r="BS246" s="339"/>
      <c r="BT246" s="339"/>
      <c r="BU246" s="339"/>
      <c r="BV246" s="339"/>
      <c r="BW246" s="339"/>
      <c r="BX246" s="339">
        <f t="shared" si="116"/>
        <v>0</v>
      </c>
      <c r="BZ246" s="339"/>
      <c r="CA246" s="339"/>
      <c r="CB246" s="339"/>
      <c r="CC246" s="339"/>
      <c r="CD246" s="339"/>
      <c r="CE246" s="339">
        <f t="shared" si="117"/>
        <v>0</v>
      </c>
      <c r="CG246" s="339"/>
      <c r="CH246" s="339"/>
      <c r="CI246" s="339"/>
      <c r="CJ246" s="339"/>
      <c r="CK246" s="339"/>
      <c r="CL246" s="339">
        <f t="shared" si="118"/>
        <v>0</v>
      </c>
      <c r="CN246" s="339"/>
      <c r="CO246" s="339"/>
      <c r="CP246" s="339"/>
      <c r="CQ246" s="339"/>
      <c r="CR246" s="339"/>
      <c r="CS246" s="339">
        <f t="shared" si="119"/>
        <v>0</v>
      </c>
      <c r="CU246" s="339"/>
      <c r="CV246" s="339"/>
      <c r="CW246" s="339"/>
      <c r="CX246" s="339"/>
      <c r="CY246" s="339"/>
      <c r="CZ246" s="339">
        <f t="shared" si="120"/>
        <v>0</v>
      </c>
      <c r="DB246" s="339"/>
      <c r="DC246" s="339"/>
      <c r="DD246" s="339"/>
      <c r="DE246" s="339"/>
      <c r="DF246" s="339"/>
      <c r="DG246" s="339">
        <f t="shared" si="121"/>
        <v>0</v>
      </c>
      <c r="DI246" s="339"/>
      <c r="DJ246" s="339"/>
      <c r="DK246" s="339"/>
      <c r="DL246" s="339"/>
      <c r="DM246" s="339"/>
      <c r="DN246" s="339">
        <f t="shared" si="122"/>
        <v>0</v>
      </c>
    </row>
    <row r="247" spans="19:118">
      <c r="S247" s="417"/>
      <c r="T247" s="417"/>
      <c r="V247" s="339"/>
      <c r="W247" s="339"/>
      <c r="X247" s="339"/>
      <c r="Y247" s="339"/>
      <c r="Z247" s="339"/>
      <c r="AA247" s="339">
        <f t="shared" si="109"/>
        <v>0</v>
      </c>
      <c r="AC247" s="339"/>
      <c r="AD247" s="339"/>
      <c r="AE247" s="339"/>
      <c r="AF247" s="339"/>
      <c r="AG247" s="339"/>
      <c r="AH247" s="339">
        <f t="shared" si="110"/>
        <v>0</v>
      </c>
      <c r="AJ247" s="339"/>
      <c r="AK247" s="339"/>
      <c r="AL247" s="339"/>
      <c r="AM247" s="339"/>
      <c r="AN247" s="339"/>
      <c r="AO247" s="339">
        <f t="shared" si="111"/>
        <v>0</v>
      </c>
      <c r="AQ247" s="339"/>
      <c r="AR247" s="339"/>
      <c r="AS247" s="339"/>
      <c r="AT247" s="339"/>
      <c r="AU247" s="339"/>
      <c r="AV247" s="339">
        <f t="shared" si="112"/>
        <v>0</v>
      </c>
      <c r="AX247" s="339"/>
      <c r="AY247" s="339"/>
      <c r="AZ247" s="339"/>
      <c r="BA247" s="339"/>
      <c r="BB247" s="339"/>
      <c r="BC247" s="339">
        <f t="shared" si="113"/>
        <v>0</v>
      </c>
      <c r="BE247" s="339"/>
      <c r="BF247" s="339"/>
      <c r="BG247" s="339"/>
      <c r="BH247" s="339"/>
      <c r="BI247" s="339"/>
      <c r="BJ247" s="339">
        <f t="shared" si="114"/>
        <v>0</v>
      </c>
      <c r="BL247" s="339"/>
      <c r="BM247" s="339"/>
      <c r="BN247" s="339"/>
      <c r="BO247" s="339"/>
      <c r="BP247" s="339"/>
      <c r="BQ247" s="339">
        <f t="shared" si="115"/>
        <v>0</v>
      </c>
      <c r="BS247" s="339"/>
      <c r="BT247" s="339"/>
      <c r="BU247" s="339"/>
      <c r="BV247" s="339"/>
      <c r="BW247" s="339"/>
      <c r="BX247" s="339">
        <f t="shared" si="116"/>
        <v>0</v>
      </c>
      <c r="BZ247" s="339"/>
      <c r="CA247" s="339"/>
      <c r="CB247" s="339"/>
      <c r="CC247" s="339"/>
      <c r="CD247" s="339"/>
      <c r="CE247" s="339">
        <f t="shared" si="117"/>
        <v>0</v>
      </c>
      <c r="CG247" s="339"/>
      <c r="CH247" s="339"/>
      <c r="CI247" s="339"/>
      <c r="CJ247" s="339"/>
      <c r="CK247" s="339"/>
      <c r="CL247" s="339">
        <f t="shared" si="118"/>
        <v>0</v>
      </c>
      <c r="CN247" s="339"/>
      <c r="CO247" s="339"/>
      <c r="CP247" s="339"/>
      <c r="CQ247" s="339"/>
      <c r="CR247" s="339"/>
      <c r="CS247" s="339">
        <f t="shared" si="119"/>
        <v>0</v>
      </c>
      <c r="CU247" s="339"/>
      <c r="CV247" s="339"/>
      <c r="CW247" s="339"/>
      <c r="CX247" s="339"/>
      <c r="CY247" s="339"/>
      <c r="CZ247" s="339">
        <f t="shared" si="120"/>
        <v>0</v>
      </c>
      <c r="DB247" s="339"/>
      <c r="DC247" s="339"/>
      <c r="DD247" s="339"/>
      <c r="DE247" s="339"/>
      <c r="DF247" s="339"/>
      <c r="DG247" s="339">
        <f t="shared" si="121"/>
        <v>0</v>
      </c>
      <c r="DI247" s="339"/>
      <c r="DJ247" s="339"/>
      <c r="DK247" s="339"/>
      <c r="DL247" s="339"/>
      <c r="DM247" s="339"/>
      <c r="DN247" s="339">
        <f t="shared" si="122"/>
        <v>0</v>
      </c>
    </row>
    <row r="248" spans="19:118">
      <c r="S248" s="417"/>
      <c r="T248" s="417"/>
      <c r="V248" s="339"/>
      <c r="W248" s="339"/>
      <c r="X248" s="339"/>
      <c r="Y248" s="339"/>
      <c r="Z248" s="339"/>
      <c r="AA248" s="339">
        <f t="shared" si="109"/>
        <v>0</v>
      </c>
      <c r="AC248" s="339"/>
      <c r="AD248" s="339"/>
      <c r="AE248" s="339"/>
      <c r="AF248" s="339"/>
      <c r="AG248" s="339"/>
      <c r="AH248" s="339">
        <f t="shared" si="110"/>
        <v>0</v>
      </c>
      <c r="AJ248" s="339"/>
      <c r="AK248" s="339"/>
      <c r="AL248" s="339"/>
      <c r="AM248" s="339"/>
      <c r="AN248" s="339"/>
      <c r="AO248" s="339">
        <f t="shared" si="111"/>
        <v>0</v>
      </c>
      <c r="AQ248" s="339"/>
      <c r="AR248" s="339"/>
      <c r="AS248" s="339"/>
      <c r="AT248" s="339"/>
      <c r="AU248" s="339"/>
      <c r="AV248" s="339">
        <f t="shared" si="112"/>
        <v>0</v>
      </c>
      <c r="AX248" s="339"/>
      <c r="AY248" s="339"/>
      <c r="AZ248" s="339"/>
      <c r="BA248" s="339"/>
      <c r="BB248" s="339"/>
      <c r="BC248" s="339">
        <f t="shared" si="113"/>
        <v>0</v>
      </c>
      <c r="BE248" s="339"/>
      <c r="BF248" s="339"/>
      <c r="BG248" s="339"/>
      <c r="BH248" s="339"/>
      <c r="BI248" s="339"/>
      <c r="BJ248" s="339">
        <f t="shared" si="114"/>
        <v>0</v>
      </c>
      <c r="BL248" s="339"/>
      <c r="BM248" s="339"/>
      <c r="BN248" s="339"/>
      <c r="BO248" s="339"/>
      <c r="BP248" s="339"/>
      <c r="BQ248" s="339">
        <f t="shared" si="115"/>
        <v>0</v>
      </c>
      <c r="BS248" s="339"/>
      <c r="BT248" s="339"/>
      <c r="BU248" s="339"/>
      <c r="BV248" s="339"/>
      <c r="BW248" s="339"/>
      <c r="BX248" s="339">
        <f t="shared" si="116"/>
        <v>0</v>
      </c>
      <c r="BZ248" s="339"/>
      <c r="CA248" s="339"/>
      <c r="CB248" s="339"/>
      <c r="CC248" s="339"/>
      <c r="CD248" s="339"/>
      <c r="CE248" s="339">
        <f t="shared" si="117"/>
        <v>0</v>
      </c>
      <c r="CG248" s="339"/>
      <c r="CH248" s="339"/>
      <c r="CI248" s="339"/>
      <c r="CJ248" s="339"/>
      <c r="CK248" s="339"/>
      <c r="CL248" s="339">
        <f t="shared" si="118"/>
        <v>0</v>
      </c>
      <c r="CN248" s="339"/>
      <c r="CO248" s="339"/>
      <c r="CP248" s="339"/>
      <c r="CQ248" s="339"/>
      <c r="CR248" s="339"/>
      <c r="CS248" s="339">
        <f t="shared" si="119"/>
        <v>0</v>
      </c>
      <c r="CU248" s="339"/>
      <c r="CV248" s="339"/>
      <c r="CW248" s="339"/>
      <c r="CX248" s="339"/>
      <c r="CY248" s="339"/>
      <c r="CZ248" s="339">
        <f t="shared" si="120"/>
        <v>0</v>
      </c>
      <c r="DB248" s="339"/>
      <c r="DC248" s="339"/>
      <c r="DD248" s="339"/>
      <c r="DE248" s="339"/>
      <c r="DF248" s="339"/>
      <c r="DG248" s="339">
        <f t="shared" si="121"/>
        <v>0</v>
      </c>
      <c r="DI248" s="339"/>
      <c r="DJ248" s="339"/>
      <c r="DK248" s="339"/>
      <c r="DL248" s="339"/>
      <c r="DM248" s="339"/>
      <c r="DN248" s="339">
        <f t="shared" si="122"/>
        <v>0</v>
      </c>
    </row>
    <row r="249" spans="19:118">
      <c r="S249" s="417"/>
      <c r="T249" s="417"/>
      <c r="V249" s="339"/>
      <c r="W249" s="339"/>
      <c r="X249" s="339"/>
      <c r="Y249" s="339"/>
      <c r="Z249" s="339"/>
      <c r="AA249" s="339">
        <f t="shared" si="109"/>
        <v>0</v>
      </c>
      <c r="AC249" s="339"/>
      <c r="AD249" s="339"/>
      <c r="AE249" s="339"/>
      <c r="AF249" s="339"/>
      <c r="AG249" s="339"/>
      <c r="AH249" s="339">
        <f t="shared" si="110"/>
        <v>0</v>
      </c>
      <c r="AJ249" s="339"/>
      <c r="AK249" s="339"/>
      <c r="AL249" s="339"/>
      <c r="AM249" s="339"/>
      <c r="AN249" s="339"/>
      <c r="AO249" s="339">
        <f t="shared" si="111"/>
        <v>0</v>
      </c>
      <c r="AQ249" s="339"/>
      <c r="AR249" s="339"/>
      <c r="AS249" s="339"/>
      <c r="AT249" s="339"/>
      <c r="AU249" s="339"/>
      <c r="AV249" s="339">
        <f t="shared" si="112"/>
        <v>0</v>
      </c>
      <c r="AX249" s="339"/>
      <c r="AY249" s="339"/>
      <c r="AZ249" s="339"/>
      <c r="BA249" s="339"/>
      <c r="BB249" s="339"/>
      <c r="BC249" s="339">
        <f t="shared" si="113"/>
        <v>0</v>
      </c>
      <c r="BE249" s="339"/>
      <c r="BF249" s="339"/>
      <c r="BG249" s="339"/>
      <c r="BH249" s="339"/>
      <c r="BI249" s="339"/>
      <c r="BJ249" s="339">
        <f t="shared" si="114"/>
        <v>0</v>
      </c>
      <c r="BL249" s="339"/>
      <c r="BM249" s="339"/>
      <c r="BN249" s="339"/>
      <c r="BO249" s="339"/>
      <c r="BP249" s="339"/>
      <c r="BQ249" s="339">
        <f t="shared" si="115"/>
        <v>0</v>
      </c>
      <c r="BS249" s="339"/>
      <c r="BT249" s="339"/>
      <c r="BU249" s="339"/>
      <c r="BV249" s="339"/>
      <c r="BW249" s="339"/>
      <c r="BX249" s="339">
        <f t="shared" si="116"/>
        <v>0</v>
      </c>
      <c r="BZ249" s="339"/>
      <c r="CA249" s="339"/>
      <c r="CB249" s="339"/>
      <c r="CC249" s="339"/>
      <c r="CD249" s="339"/>
      <c r="CE249" s="339">
        <f t="shared" si="117"/>
        <v>0</v>
      </c>
      <c r="CG249" s="339"/>
      <c r="CH249" s="339"/>
      <c r="CI249" s="339"/>
      <c r="CJ249" s="339"/>
      <c r="CK249" s="339"/>
      <c r="CL249" s="339">
        <f t="shared" si="118"/>
        <v>0</v>
      </c>
      <c r="CN249" s="339"/>
      <c r="CO249" s="339"/>
      <c r="CP249" s="339"/>
      <c r="CQ249" s="339"/>
      <c r="CR249" s="339"/>
      <c r="CS249" s="339">
        <f t="shared" si="119"/>
        <v>0</v>
      </c>
      <c r="CU249" s="339"/>
      <c r="CV249" s="339"/>
      <c r="CW249" s="339"/>
      <c r="CX249" s="339"/>
      <c r="CY249" s="339"/>
      <c r="CZ249" s="339">
        <f t="shared" si="120"/>
        <v>0</v>
      </c>
      <c r="DB249" s="339"/>
      <c r="DC249" s="339"/>
      <c r="DD249" s="339"/>
      <c r="DE249" s="339"/>
      <c r="DF249" s="339"/>
      <c r="DG249" s="339">
        <f t="shared" si="121"/>
        <v>0</v>
      </c>
      <c r="DI249" s="339"/>
      <c r="DJ249" s="339"/>
      <c r="DK249" s="339"/>
      <c r="DL249" s="339"/>
      <c r="DM249" s="339"/>
      <c r="DN249" s="339">
        <f t="shared" si="122"/>
        <v>0</v>
      </c>
    </row>
    <row r="250" spans="19:118">
      <c r="S250" s="417"/>
      <c r="T250" s="417"/>
      <c r="V250" s="339"/>
      <c r="W250" s="339"/>
      <c r="X250" s="339"/>
      <c r="Y250" s="339"/>
      <c r="Z250" s="339"/>
      <c r="AA250" s="339">
        <f t="shared" si="109"/>
        <v>0</v>
      </c>
      <c r="AC250" s="339"/>
      <c r="AD250" s="339"/>
      <c r="AE250" s="339"/>
      <c r="AF250" s="339"/>
      <c r="AG250" s="339"/>
      <c r="AH250" s="339">
        <f t="shared" si="110"/>
        <v>0</v>
      </c>
      <c r="AJ250" s="339"/>
      <c r="AK250" s="339"/>
      <c r="AL250" s="339"/>
      <c r="AM250" s="339"/>
      <c r="AN250" s="339"/>
      <c r="AO250" s="339">
        <f t="shared" si="111"/>
        <v>0</v>
      </c>
      <c r="AQ250" s="339"/>
      <c r="AR250" s="339"/>
      <c r="AS250" s="339"/>
      <c r="AT250" s="339"/>
      <c r="AU250" s="339"/>
      <c r="AV250" s="339">
        <f t="shared" si="112"/>
        <v>0</v>
      </c>
      <c r="AX250" s="339"/>
      <c r="AY250" s="339"/>
      <c r="AZ250" s="339"/>
      <c r="BA250" s="339"/>
      <c r="BB250" s="339"/>
      <c r="BC250" s="339">
        <f t="shared" si="113"/>
        <v>0</v>
      </c>
      <c r="BE250" s="339"/>
      <c r="BF250" s="339"/>
      <c r="BG250" s="339"/>
      <c r="BH250" s="339"/>
      <c r="BI250" s="339"/>
      <c r="BJ250" s="339">
        <f t="shared" si="114"/>
        <v>0</v>
      </c>
      <c r="BL250" s="339"/>
      <c r="BM250" s="339"/>
      <c r="BN250" s="339"/>
      <c r="BO250" s="339"/>
      <c r="BP250" s="339"/>
      <c r="BQ250" s="339">
        <f t="shared" si="115"/>
        <v>0</v>
      </c>
      <c r="BS250" s="339"/>
      <c r="BT250" s="339"/>
      <c r="BU250" s="339"/>
      <c r="BV250" s="339"/>
      <c r="BW250" s="339"/>
      <c r="BX250" s="339">
        <f t="shared" si="116"/>
        <v>0</v>
      </c>
      <c r="BZ250" s="339"/>
      <c r="CA250" s="339"/>
      <c r="CB250" s="339"/>
      <c r="CC250" s="339"/>
      <c r="CD250" s="339"/>
      <c r="CE250" s="339">
        <f t="shared" si="117"/>
        <v>0</v>
      </c>
      <c r="CG250" s="339"/>
      <c r="CH250" s="339"/>
      <c r="CI250" s="339"/>
      <c r="CJ250" s="339"/>
      <c r="CK250" s="339"/>
      <c r="CL250" s="339">
        <f t="shared" si="118"/>
        <v>0</v>
      </c>
      <c r="CN250" s="339"/>
      <c r="CO250" s="339"/>
      <c r="CP250" s="339"/>
      <c r="CQ250" s="339"/>
      <c r="CR250" s="339"/>
      <c r="CS250" s="339">
        <f t="shared" si="119"/>
        <v>0</v>
      </c>
      <c r="CU250" s="339"/>
      <c r="CV250" s="339"/>
      <c r="CW250" s="339"/>
      <c r="CX250" s="339"/>
      <c r="CY250" s="339"/>
      <c r="CZ250" s="339">
        <f t="shared" si="120"/>
        <v>0</v>
      </c>
      <c r="DB250" s="339"/>
      <c r="DC250" s="339"/>
      <c r="DD250" s="339"/>
      <c r="DE250" s="339"/>
      <c r="DF250" s="339"/>
      <c r="DG250" s="339">
        <f t="shared" si="121"/>
        <v>0</v>
      </c>
      <c r="DI250" s="339"/>
      <c r="DJ250" s="339"/>
      <c r="DK250" s="339"/>
      <c r="DL250" s="339"/>
      <c r="DM250" s="339"/>
      <c r="DN250" s="339">
        <f t="shared" si="122"/>
        <v>0</v>
      </c>
    </row>
    <row r="251" spans="19:118">
      <c r="S251" s="417"/>
      <c r="T251" s="417"/>
      <c r="V251" s="339"/>
      <c r="W251" s="339"/>
      <c r="X251" s="339"/>
      <c r="Y251" s="339"/>
      <c r="Z251" s="339"/>
      <c r="AA251" s="339">
        <f t="shared" si="109"/>
        <v>0</v>
      </c>
      <c r="AC251" s="339"/>
      <c r="AD251" s="339"/>
      <c r="AE251" s="339"/>
      <c r="AF251" s="339"/>
      <c r="AG251" s="339"/>
      <c r="AH251" s="339">
        <f t="shared" si="110"/>
        <v>0</v>
      </c>
      <c r="AJ251" s="339"/>
      <c r="AK251" s="339"/>
      <c r="AL251" s="339"/>
      <c r="AM251" s="339"/>
      <c r="AN251" s="339"/>
      <c r="AO251" s="339">
        <f t="shared" si="111"/>
        <v>0</v>
      </c>
      <c r="AQ251" s="339"/>
      <c r="AR251" s="339"/>
      <c r="AS251" s="339"/>
      <c r="AT251" s="339"/>
      <c r="AU251" s="339"/>
      <c r="AV251" s="339">
        <f t="shared" si="112"/>
        <v>0</v>
      </c>
      <c r="AX251" s="339"/>
      <c r="AY251" s="339"/>
      <c r="AZ251" s="339"/>
      <c r="BA251" s="339"/>
      <c r="BB251" s="339"/>
      <c r="BC251" s="339">
        <f t="shared" si="113"/>
        <v>0</v>
      </c>
      <c r="BE251" s="339"/>
      <c r="BF251" s="339"/>
      <c r="BG251" s="339"/>
      <c r="BH251" s="339"/>
      <c r="BI251" s="339"/>
      <c r="BJ251" s="339">
        <f t="shared" si="114"/>
        <v>0</v>
      </c>
      <c r="BL251" s="339"/>
      <c r="BM251" s="339"/>
      <c r="BN251" s="339"/>
      <c r="BO251" s="339"/>
      <c r="BP251" s="339"/>
      <c r="BQ251" s="339">
        <f t="shared" si="115"/>
        <v>0</v>
      </c>
      <c r="BS251" s="339"/>
      <c r="BT251" s="339"/>
      <c r="BU251" s="339"/>
      <c r="BV251" s="339"/>
      <c r="BW251" s="339"/>
      <c r="BX251" s="339">
        <f t="shared" si="116"/>
        <v>0</v>
      </c>
      <c r="BZ251" s="339"/>
      <c r="CA251" s="339"/>
      <c r="CB251" s="339"/>
      <c r="CC251" s="339"/>
      <c r="CD251" s="339"/>
      <c r="CE251" s="339">
        <f t="shared" si="117"/>
        <v>0</v>
      </c>
      <c r="CG251" s="339"/>
      <c r="CH251" s="339"/>
      <c r="CI251" s="339"/>
      <c r="CJ251" s="339"/>
      <c r="CK251" s="339"/>
      <c r="CL251" s="339">
        <f t="shared" si="118"/>
        <v>0</v>
      </c>
      <c r="CN251" s="339"/>
      <c r="CO251" s="339"/>
      <c r="CP251" s="339"/>
      <c r="CQ251" s="339"/>
      <c r="CR251" s="339"/>
      <c r="CS251" s="339">
        <f t="shared" si="119"/>
        <v>0</v>
      </c>
      <c r="CU251" s="339"/>
      <c r="CV251" s="339"/>
      <c r="CW251" s="339"/>
      <c r="CX251" s="339"/>
      <c r="CY251" s="339"/>
      <c r="CZ251" s="339">
        <f t="shared" si="120"/>
        <v>0</v>
      </c>
      <c r="DB251" s="339"/>
      <c r="DC251" s="339"/>
      <c r="DD251" s="339"/>
      <c r="DE251" s="339"/>
      <c r="DF251" s="339"/>
      <c r="DG251" s="339">
        <f t="shared" si="121"/>
        <v>0</v>
      </c>
      <c r="DI251" s="339"/>
      <c r="DJ251" s="339"/>
      <c r="DK251" s="339"/>
      <c r="DL251" s="339"/>
      <c r="DM251" s="339"/>
      <c r="DN251" s="339">
        <f t="shared" si="122"/>
        <v>0</v>
      </c>
    </row>
    <row r="252" spans="19:118">
      <c r="S252" s="417"/>
      <c r="T252" s="417"/>
      <c r="V252" s="339"/>
      <c r="W252" s="339"/>
      <c r="X252" s="339"/>
      <c r="Y252" s="339"/>
      <c r="Z252" s="339"/>
      <c r="AA252" s="339">
        <f t="shared" si="109"/>
        <v>0</v>
      </c>
      <c r="AC252" s="339"/>
      <c r="AD252" s="339"/>
      <c r="AE252" s="339"/>
      <c r="AF252" s="339"/>
      <c r="AG252" s="339"/>
      <c r="AH252" s="339">
        <f t="shared" si="110"/>
        <v>0</v>
      </c>
      <c r="AJ252" s="339"/>
      <c r="AK252" s="339"/>
      <c r="AL252" s="339"/>
      <c r="AM252" s="339"/>
      <c r="AN252" s="339"/>
      <c r="AO252" s="339">
        <f t="shared" si="111"/>
        <v>0</v>
      </c>
      <c r="AQ252" s="339"/>
      <c r="AR252" s="339"/>
      <c r="AS252" s="339"/>
      <c r="AT252" s="339"/>
      <c r="AU252" s="339"/>
      <c r="AV252" s="339">
        <f t="shared" si="112"/>
        <v>0</v>
      </c>
      <c r="AX252" s="339"/>
      <c r="AY252" s="339"/>
      <c r="AZ252" s="339"/>
      <c r="BA252" s="339"/>
      <c r="BB252" s="339"/>
      <c r="BC252" s="339">
        <f t="shared" si="113"/>
        <v>0</v>
      </c>
      <c r="BE252" s="339"/>
      <c r="BF252" s="339"/>
      <c r="BG252" s="339"/>
      <c r="BH252" s="339"/>
      <c r="BI252" s="339"/>
      <c r="BJ252" s="339">
        <f t="shared" si="114"/>
        <v>0</v>
      </c>
      <c r="BL252" s="339"/>
      <c r="BM252" s="339"/>
      <c r="BN252" s="339"/>
      <c r="BO252" s="339"/>
      <c r="BP252" s="339"/>
      <c r="BQ252" s="339">
        <f t="shared" si="115"/>
        <v>0</v>
      </c>
      <c r="BS252" s="339"/>
      <c r="BT252" s="339"/>
      <c r="BU252" s="339"/>
      <c r="BV252" s="339"/>
      <c r="BW252" s="339"/>
      <c r="BX252" s="339">
        <f t="shared" si="116"/>
        <v>0</v>
      </c>
      <c r="BZ252" s="339"/>
      <c r="CA252" s="339"/>
      <c r="CB252" s="339"/>
      <c r="CC252" s="339"/>
      <c r="CD252" s="339"/>
      <c r="CE252" s="339">
        <f t="shared" si="117"/>
        <v>0</v>
      </c>
      <c r="CG252" s="339"/>
      <c r="CH252" s="339"/>
      <c r="CI252" s="339"/>
      <c r="CJ252" s="339"/>
      <c r="CK252" s="339"/>
      <c r="CL252" s="339">
        <f t="shared" si="118"/>
        <v>0</v>
      </c>
      <c r="CN252" s="339"/>
      <c r="CO252" s="339"/>
      <c r="CP252" s="339"/>
      <c r="CQ252" s="339"/>
      <c r="CR252" s="339"/>
      <c r="CS252" s="339">
        <f t="shared" si="119"/>
        <v>0</v>
      </c>
      <c r="CU252" s="339"/>
      <c r="CV252" s="339"/>
      <c r="CW252" s="339"/>
      <c r="CX252" s="339"/>
      <c r="CY252" s="339"/>
      <c r="CZ252" s="339">
        <f t="shared" si="120"/>
        <v>0</v>
      </c>
      <c r="DB252" s="339"/>
      <c r="DC252" s="339"/>
      <c r="DD252" s="339"/>
      <c r="DE252" s="339"/>
      <c r="DF252" s="339"/>
      <c r="DG252" s="339">
        <f t="shared" si="121"/>
        <v>0</v>
      </c>
      <c r="DI252" s="339"/>
      <c r="DJ252" s="339"/>
      <c r="DK252" s="339"/>
      <c r="DL252" s="339"/>
      <c r="DM252" s="339"/>
      <c r="DN252" s="339">
        <f t="shared" si="122"/>
        <v>0</v>
      </c>
    </row>
    <row r="253" spans="19:118">
      <c r="S253" s="417"/>
      <c r="T253" s="417"/>
      <c r="V253" s="339"/>
      <c r="W253" s="339"/>
      <c r="X253" s="339"/>
      <c r="Y253" s="339"/>
      <c r="Z253" s="339"/>
      <c r="AA253" s="339">
        <f t="shared" si="109"/>
        <v>0</v>
      </c>
      <c r="AC253" s="339"/>
      <c r="AD253" s="339"/>
      <c r="AE253" s="339"/>
      <c r="AF253" s="339"/>
      <c r="AG253" s="339"/>
      <c r="AH253" s="339">
        <f t="shared" si="110"/>
        <v>0</v>
      </c>
      <c r="AJ253" s="339"/>
      <c r="AK253" s="339"/>
      <c r="AL253" s="339"/>
      <c r="AM253" s="339"/>
      <c r="AN253" s="339"/>
      <c r="AO253" s="339">
        <f t="shared" si="111"/>
        <v>0</v>
      </c>
      <c r="AQ253" s="339"/>
      <c r="AR253" s="339"/>
      <c r="AS253" s="339"/>
      <c r="AT253" s="339"/>
      <c r="AU253" s="339"/>
      <c r="AV253" s="339">
        <f t="shared" si="112"/>
        <v>0</v>
      </c>
      <c r="AX253" s="339"/>
      <c r="AY253" s="339"/>
      <c r="AZ253" s="339"/>
      <c r="BA253" s="339"/>
      <c r="BB253" s="339"/>
      <c r="BC253" s="339">
        <f t="shared" si="113"/>
        <v>0</v>
      </c>
      <c r="BE253" s="339"/>
      <c r="BF253" s="339"/>
      <c r="BG253" s="339"/>
      <c r="BH253" s="339"/>
      <c r="BI253" s="339"/>
      <c r="BJ253" s="339">
        <f t="shared" si="114"/>
        <v>0</v>
      </c>
      <c r="BL253" s="339"/>
      <c r="BM253" s="339"/>
      <c r="BN253" s="339"/>
      <c r="BO253" s="339"/>
      <c r="BP253" s="339"/>
      <c r="BQ253" s="339">
        <f t="shared" si="115"/>
        <v>0</v>
      </c>
      <c r="BS253" s="339"/>
      <c r="BT253" s="339"/>
      <c r="BU253" s="339"/>
      <c r="BV253" s="339"/>
      <c r="BW253" s="339"/>
      <c r="BX253" s="339">
        <f t="shared" si="116"/>
        <v>0</v>
      </c>
      <c r="BZ253" s="339"/>
      <c r="CA253" s="339"/>
      <c r="CB253" s="339"/>
      <c r="CC253" s="339"/>
      <c r="CD253" s="339"/>
      <c r="CE253" s="339">
        <f t="shared" si="117"/>
        <v>0</v>
      </c>
      <c r="CG253" s="339"/>
      <c r="CH253" s="339"/>
      <c r="CI253" s="339"/>
      <c r="CJ253" s="339"/>
      <c r="CK253" s="339"/>
      <c r="CL253" s="339">
        <f t="shared" si="118"/>
        <v>0</v>
      </c>
      <c r="CN253" s="339"/>
      <c r="CO253" s="339"/>
      <c r="CP253" s="339"/>
      <c r="CQ253" s="339"/>
      <c r="CR253" s="339"/>
      <c r="CS253" s="339">
        <f t="shared" si="119"/>
        <v>0</v>
      </c>
      <c r="CU253" s="339"/>
      <c r="CV253" s="339"/>
      <c r="CW253" s="339"/>
      <c r="CX253" s="339"/>
      <c r="CY253" s="339"/>
      <c r="CZ253" s="339">
        <f t="shared" si="120"/>
        <v>0</v>
      </c>
      <c r="DB253" s="339"/>
      <c r="DC253" s="339"/>
      <c r="DD253" s="339"/>
      <c r="DE253" s="339"/>
      <c r="DF253" s="339"/>
      <c r="DG253" s="339">
        <f t="shared" si="121"/>
        <v>0</v>
      </c>
      <c r="DI253" s="339"/>
      <c r="DJ253" s="339"/>
      <c r="DK253" s="339"/>
      <c r="DL253" s="339"/>
      <c r="DM253" s="339"/>
      <c r="DN253" s="339">
        <f t="shared" si="122"/>
        <v>0</v>
      </c>
    </row>
    <row r="254" spans="19:118">
      <c r="S254" s="417"/>
      <c r="T254" s="417"/>
      <c r="V254" s="339"/>
      <c r="W254" s="339"/>
      <c r="X254" s="339"/>
      <c r="Y254" s="339"/>
      <c r="Z254" s="339"/>
      <c r="AA254" s="339">
        <f t="shared" si="109"/>
        <v>0</v>
      </c>
      <c r="AC254" s="339"/>
      <c r="AD254" s="339"/>
      <c r="AE254" s="339"/>
      <c r="AF254" s="339"/>
      <c r="AG254" s="339"/>
      <c r="AH254" s="339">
        <f t="shared" si="110"/>
        <v>0</v>
      </c>
      <c r="AJ254" s="339"/>
      <c r="AK254" s="339"/>
      <c r="AL254" s="339"/>
      <c r="AM254" s="339"/>
      <c r="AN254" s="339"/>
      <c r="AO254" s="339">
        <f t="shared" si="111"/>
        <v>0</v>
      </c>
      <c r="AQ254" s="339"/>
      <c r="AR254" s="339"/>
      <c r="AS254" s="339"/>
      <c r="AT254" s="339"/>
      <c r="AU254" s="339"/>
      <c r="AV254" s="339">
        <f t="shared" si="112"/>
        <v>0</v>
      </c>
      <c r="AX254" s="339"/>
      <c r="AY254" s="339"/>
      <c r="AZ254" s="339"/>
      <c r="BA254" s="339"/>
      <c r="BB254" s="339"/>
      <c r="BC254" s="339">
        <f t="shared" si="113"/>
        <v>0</v>
      </c>
      <c r="BE254" s="339"/>
      <c r="BF254" s="339"/>
      <c r="BG254" s="339"/>
      <c r="BH254" s="339"/>
      <c r="BI254" s="339"/>
      <c r="BJ254" s="339">
        <f t="shared" si="114"/>
        <v>0</v>
      </c>
      <c r="BL254" s="339"/>
      <c r="BM254" s="339"/>
      <c r="BN254" s="339"/>
      <c r="BO254" s="339"/>
      <c r="BP254" s="339"/>
      <c r="BQ254" s="339">
        <f t="shared" si="115"/>
        <v>0</v>
      </c>
      <c r="BS254" s="339"/>
      <c r="BT254" s="339"/>
      <c r="BU254" s="339"/>
      <c r="BV254" s="339"/>
      <c r="BW254" s="339"/>
      <c r="BX254" s="339">
        <f t="shared" si="116"/>
        <v>0</v>
      </c>
      <c r="BZ254" s="339"/>
      <c r="CA254" s="339"/>
      <c r="CB254" s="339"/>
      <c r="CC254" s="339"/>
      <c r="CD254" s="339"/>
      <c r="CE254" s="339">
        <f t="shared" si="117"/>
        <v>0</v>
      </c>
      <c r="CG254" s="339"/>
      <c r="CH254" s="339"/>
      <c r="CI254" s="339"/>
      <c r="CJ254" s="339"/>
      <c r="CK254" s="339"/>
      <c r="CL254" s="339">
        <f t="shared" si="118"/>
        <v>0</v>
      </c>
      <c r="CN254" s="339"/>
      <c r="CO254" s="339"/>
      <c r="CP254" s="339"/>
      <c r="CQ254" s="339"/>
      <c r="CR254" s="339"/>
      <c r="CS254" s="339">
        <f t="shared" si="119"/>
        <v>0</v>
      </c>
      <c r="CU254" s="339"/>
      <c r="CV254" s="339"/>
      <c r="CW254" s="339"/>
      <c r="CX254" s="339"/>
      <c r="CY254" s="339"/>
      <c r="CZ254" s="339">
        <f t="shared" si="120"/>
        <v>0</v>
      </c>
      <c r="DB254" s="339"/>
      <c r="DC254" s="339"/>
      <c r="DD254" s="339"/>
      <c r="DE254" s="339"/>
      <c r="DF254" s="339"/>
      <c r="DG254" s="339">
        <f t="shared" si="121"/>
        <v>0</v>
      </c>
      <c r="DI254" s="339"/>
      <c r="DJ254" s="339"/>
      <c r="DK254" s="339"/>
      <c r="DL254" s="339"/>
      <c r="DM254" s="339"/>
      <c r="DN254" s="339">
        <f t="shared" si="122"/>
        <v>0</v>
      </c>
    </row>
    <row r="255" spans="19:118">
      <c r="S255" s="417"/>
      <c r="T255" s="417"/>
      <c r="V255" s="339"/>
      <c r="W255" s="339"/>
      <c r="X255" s="339"/>
      <c r="Y255" s="339"/>
      <c r="Z255" s="339"/>
      <c r="AA255" s="339">
        <f t="shared" si="109"/>
        <v>0</v>
      </c>
      <c r="AC255" s="339"/>
      <c r="AD255" s="339"/>
      <c r="AE255" s="339"/>
      <c r="AF255" s="339"/>
      <c r="AG255" s="339"/>
      <c r="AH255" s="339">
        <f t="shared" si="110"/>
        <v>0</v>
      </c>
      <c r="AJ255" s="339"/>
      <c r="AK255" s="339"/>
      <c r="AL255" s="339"/>
      <c r="AM255" s="339"/>
      <c r="AN255" s="339"/>
      <c r="AO255" s="339">
        <f t="shared" si="111"/>
        <v>0</v>
      </c>
      <c r="AQ255" s="339"/>
      <c r="AR255" s="339"/>
      <c r="AS255" s="339"/>
      <c r="AT255" s="339"/>
      <c r="AU255" s="339"/>
      <c r="AV255" s="339">
        <f t="shared" si="112"/>
        <v>0</v>
      </c>
      <c r="AX255" s="339"/>
      <c r="AY255" s="339"/>
      <c r="AZ255" s="339"/>
      <c r="BA255" s="339"/>
      <c r="BB255" s="339"/>
      <c r="BC255" s="339">
        <f t="shared" si="113"/>
        <v>0</v>
      </c>
      <c r="BE255" s="339"/>
      <c r="BF255" s="339"/>
      <c r="BG255" s="339"/>
      <c r="BH255" s="339"/>
      <c r="BI255" s="339"/>
      <c r="BJ255" s="339">
        <f t="shared" si="114"/>
        <v>0</v>
      </c>
      <c r="BL255" s="339"/>
      <c r="BM255" s="339"/>
      <c r="BN255" s="339"/>
      <c r="BO255" s="339"/>
      <c r="BP255" s="339"/>
      <c r="BQ255" s="339">
        <f t="shared" si="115"/>
        <v>0</v>
      </c>
      <c r="BS255" s="339"/>
      <c r="BT255" s="339"/>
      <c r="BU255" s="339"/>
      <c r="BV255" s="339"/>
      <c r="BW255" s="339"/>
      <c r="BX255" s="339">
        <f t="shared" si="116"/>
        <v>0</v>
      </c>
      <c r="BZ255" s="339"/>
      <c r="CA255" s="339"/>
      <c r="CB255" s="339"/>
      <c r="CC255" s="339"/>
      <c r="CD255" s="339"/>
      <c r="CE255" s="339">
        <f t="shared" si="117"/>
        <v>0</v>
      </c>
      <c r="CG255" s="339"/>
      <c r="CH255" s="339"/>
      <c r="CI255" s="339"/>
      <c r="CJ255" s="339"/>
      <c r="CK255" s="339"/>
      <c r="CL255" s="339">
        <f t="shared" si="118"/>
        <v>0</v>
      </c>
      <c r="CN255" s="339"/>
      <c r="CO255" s="339"/>
      <c r="CP255" s="339"/>
      <c r="CQ255" s="339"/>
      <c r="CR255" s="339"/>
      <c r="CS255" s="339">
        <f t="shared" si="119"/>
        <v>0</v>
      </c>
      <c r="CU255" s="339"/>
      <c r="CV255" s="339"/>
      <c r="CW255" s="339"/>
      <c r="CX255" s="339"/>
      <c r="CY255" s="339"/>
      <c r="CZ255" s="339">
        <f t="shared" si="120"/>
        <v>0</v>
      </c>
      <c r="DB255" s="339"/>
      <c r="DC255" s="339"/>
      <c r="DD255" s="339"/>
      <c r="DE255" s="339"/>
      <c r="DF255" s="339"/>
      <c r="DG255" s="339">
        <f t="shared" si="121"/>
        <v>0</v>
      </c>
      <c r="DI255" s="339"/>
      <c r="DJ255" s="339"/>
      <c r="DK255" s="339"/>
      <c r="DL255" s="339"/>
      <c r="DM255" s="339"/>
      <c r="DN255" s="339">
        <f t="shared" si="122"/>
        <v>0</v>
      </c>
    </row>
    <row r="256" spans="19:118">
      <c r="S256" s="417"/>
      <c r="T256" s="417"/>
      <c r="V256" s="339"/>
      <c r="W256" s="339"/>
      <c r="X256" s="339"/>
      <c r="Y256" s="339"/>
      <c r="Z256" s="339"/>
      <c r="AA256" s="339">
        <f t="shared" si="109"/>
        <v>0</v>
      </c>
      <c r="AC256" s="339"/>
      <c r="AD256" s="339"/>
      <c r="AE256" s="339"/>
      <c r="AF256" s="339"/>
      <c r="AG256" s="339"/>
      <c r="AH256" s="339">
        <f t="shared" si="110"/>
        <v>0</v>
      </c>
      <c r="AJ256" s="339"/>
      <c r="AK256" s="339"/>
      <c r="AL256" s="339"/>
      <c r="AM256" s="339"/>
      <c r="AN256" s="339"/>
      <c r="AO256" s="339">
        <f t="shared" si="111"/>
        <v>0</v>
      </c>
      <c r="AQ256" s="339"/>
      <c r="AR256" s="339"/>
      <c r="AS256" s="339"/>
      <c r="AT256" s="339"/>
      <c r="AU256" s="339"/>
      <c r="AV256" s="339">
        <f t="shared" si="112"/>
        <v>0</v>
      </c>
      <c r="AX256" s="339"/>
      <c r="AY256" s="339"/>
      <c r="AZ256" s="339"/>
      <c r="BA256" s="339"/>
      <c r="BB256" s="339"/>
      <c r="BC256" s="339">
        <f t="shared" si="113"/>
        <v>0</v>
      </c>
      <c r="BE256" s="339"/>
      <c r="BF256" s="339"/>
      <c r="BG256" s="339"/>
      <c r="BH256" s="339"/>
      <c r="BI256" s="339"/>
      <c r="BJ256" s="339">
        <f t="shared" si="114"/>
        <v>0</v>
      </c>
      <c r="BL256" s="339"/>
      <c r="BM256" s="339"/>
      <c r="BN256" s="339"/>
      <c r="BO256" s="339"/>
      <c r="BP256" s="339"/>
      <c r="BQ256" s="339">
        <f t="shared" si="115"/>
        <v>0</v>
      </c>
      <c r="BS256" s="339"/>
      <c r="BT256" s="339"/>
      <c r="BU256" s="339"/>
      <c r="BV256" s="339"/>
      <c r="BW256" s="339"/>
      <c r="BX256" s="339">
        <f t="shared" si="116"/>
        <v>0</v>
      </c>
      <c r="BZ256" s="339"/>
      <c r="CA256" s="339"/>
      <c r="CB256" s="339"/>
      <c r="CC256" s="339"/>
      <c r="CD256" s="339"/>
      <c r="CE256" s="339">
        <f t="shared" si="117"/>
        <v>0</v>
      </c>
      <c r="CG256" s="339"/>
      <c r="CH256" s="339"/>
      <c r="CI256" s="339"/>
      <c r="CJ256" s="339"/>
      <c r="CK256" s="339"/>
      <c r="CL256" s="339">
        <f t="shared" si="118"/>
        <v>0</v>
      </c>
      <c r="CN256" s="339"/>
      <c r="CO256" s="339"/>
      <c r="CP256" s="339"/>
      <c r="CQ256" s="339"/>
      <c r="CR256" s="339"/>
      <c r="CS256" s="339">
        <f t="shared" si="119"/>
        <v>0</v>
      </c>
      <c r="CU256" s="339"/>
      <c r="CV256" s="339"/>
      <c r="CW256" s="339"/>
      <c r="CX256" s="339"/>
      <c r="CY256" s="339"/>
      <c r="CZ256" s="339">
        <f t="shared" si="120"/>
        <v>0</v>
      </c>
      <c r="DB256" s="339"/>
      <c r="DC256" s="339"/>
      <c r="DD256" s="339"/>
      <c r="DE256" s="339"/>
      <c r="DF256" s="339"/>
      <c r="DG256" s="339">
        <f t="shared" si="121"/>
        <v>0</v>
      </c>
      <c r="DI256" s="339"/>
      <c r="DJ256" s="339"/>
      <c r="DK256" s="339"/>
      <c r="DL256" s="339"/>
      <c r="DM256" s="339"/>
      <c r="DN256" s="339">
        <f t="shared" si="122"/>
        <v>0</v>
      </c>
    </row>
    <row r="257" spans="19:118">
      <c r="S257" s="417"/>
      <c r="T257" s="417"/>
      <c r="V257" s="339"/>
      <c r="W257" s="339"/>
      <c r="X257" s="339"/>
      <c r="Y257" s="339"/>
      <c r="Z257" s="339"/>
      <c r="AA257" s="339">
        <f t="shared" si="109"/>
        <v>0</v>
      </c>
      <c r="AC257" s="339"/>
      <c r="AD257" s="339"/>
      <c r="AE257" s="339"/>
      <c r="AF257" s="339"/>
      <c r="AG257" s="339"/>
      <c r="AH257" s="339">
        <f t="shared" si="110"/>
        <v>0</v>
      </c>
      <c r="AJ257" s="339"/>
      <c r="AK257" s="339"/>
      <c r="AL257" s="339"/>
      <c r="AM257" s="339"/>
      <c r="AN257" s="339"/>
      <c r="AO257" s="339">
        <f t="shared" si="111"/>
        <v>0</v>
      </c>
      <c r="AQ257" s="339"/>
      <c r="AR257" s="339"/>
      <c r="AS257" s="339"/>
      <c r="AT257" s="339"/>
      <c r="AU257" s="339"/>
      <c r="AV257" s="339">
        <f t="shared" si="112"/>
        <v>0</v>
      </c>
      <c r="AX257" s="339"/>
      <c r="AY257" s="339"/>
      <c r="AZ257" s="339"/>
      <c r="BA257" s="339"/>
      <c r="BB257" s="339"/>
      <c r="BC257" s="339">
        <f t="shared" si="113"/>
        <v>0</v>
      </c>
      <c r="BE257" s="339"/>
      <c r="BF257" s="339"/>
      <c r="BG257" s="339"/>
      <c r="BH257" s="339"/>
      <c r="BI257" s="339"/>
      <c r="BJ257" s="339">
        <f t="shared" si="114"/>
        <v>0</v>
      </c>
      <c r="BL257" s="339"/>
      <c r="BM257" s="339"/>
      <c r="BN257" s="339"/>
      <c r="BO257" s="339"/>
      <c r="BP257" s="339"/>
      <c r="BQ257" s="339">
        <f t="shared" si="115"/>
        <v>0</v>
      </c>
      <c r="BS257" s="339"/>
      <c r="BT257" s="339"/>
      <c r="BU257" s="339"/>
      <c r="BV257" s="339"/>
      <c r="BW257" s="339"/>
      <c r="BX257" s="339">
        <f t="shared" si="116"/>
        <v>0</v>
      </c>
      <c r="BZ257" s="339"/>
      <c r="CA257" s="339"/>
      <c r="CB257" s="339"/>
      <c r="CC257" s="339"/>
      <c r="CD257" s="339"/>
      <c r="CE257" s="339">
        <f t="shared" si="117"/>
        <v>0</v>
      </c>
      <c r="CG257" s="339"/>
      <c r="CH257" s="339"/>
      <c r="CI257" s="339"/>
      <c r="CJ257" s="339"/>
      <c r="CK257" s="339"/>
      <c r="CL257" s="339">
        <f t="shared" si="118"/>
        <v>0</v>
      </c>
      <c r="CN257" s="339"/>
      <c r="CO257" s="339"/>
      <c r="CP257" s="339"/>
      <c r="CQ257" s="339"/>
      <c r="CR257" s="339"/>
      <c r="CS257" s="339">
        <f t="shared" si="119"/>
        <v>0</v>
      </c>
      <c r="CU257" s="339"/>
      <c r="CV257" s="339"/>
      <c r="CW257" s="339"/>
      <c r="CX257" s="339"/>
      <c r="CY257" s="339"/>
      <c r="CZ257" s="339">
        <f t="shared" si="120"/>
        <v>0</v>
      </c>
      <c r="DB257" s="339"/>
      <c r="DC257" s="339"/>
      <c r="DD257" s="339"/>
      <c r="DE257" s="339"/>
      <c r="DF257" s="339"/>
      <c r="DG257" s="339">
        <f t="shared" si="121"/>
        <v>0</v>
      </c>
      <c r="DI257" s="339"/>
      <c r="DJ257" s="339"/>
      <c r="DK257" s="339"/>
      <c r="DL257" s="339"/>
      <c r="DM257" s="339"/>
      <c r="DN257" s="339">
        <f t="shared" si="122"/>
        <v>0</v>
      </c>
    </row>
    <row r="258" spans="19:118">
      <c r="S258" s="417"/>
      <c r="T258" s="417"/>
      <c r="V258" s="339"/>
      <c r="W258" s="339"/>
      <c r="X258" s="339"/>
      <c r="Y258" s="339"/>
      <c r="Z258" s="339"/>
      <c r="AA258" s="339">
        <f t="shared" si="109"/>
        <v>0</v>
      </c>
      <c r="AC258" s="339"/>
      <c r="AD258" s="339"/>
      <c r="AE258" s="339"/>
      <c r="AF258" s="339"/>
      <c r="AG258" s="339"/>
      <c r="AH258" s="339">
        <f t="shared" si="110"/>
        <v>0</v>
      </c>
      <c r="AJ258" s="339"/>
      <c r="AK258" s="339"/>
      <c r="AL258" s="339"/>
      <c r="AM258" s="339"/>
      <c r="AN258" s="339"/>
      <c r="AO258" s="339">
        <f t="shared" si="111"/>
        <v>0</v>
      </c>
      <c r="AQ258" s="339"/>
      <c r="AR258" s="339"/>
      <c r="AS258" s="339"/>
      <c r="AT258" s="339"/>
      <c r="AU258" s="339"/>
      <c r="AV258" s="339">
        <f t="shared" si="112"/>
        <v>0</v>
      </c>
      <c r="AX258" s="339"/>
      <c r="AY258" s="339"/>
      <c r="AZ258" s="339"/>
      <c r="BA258" s="339"/>
      <c r="BB258" s="339"/>
      <c r="BC258" s="339">
        <f t="shared" si="113"/>
        <v>0</v>
      </c>
      <c r="BE258" s="339"/>
      <c r="BF258" s="339"/>
      <c r="BG258" s="339"/>
      <c r="BH258" s="339"/>
      <c r="BI258" s="339"/>
      <c r="BJ258" s="339">
        <f t="shared" si="114"/>
        <v>0</v>
      </c>
      <c r="BL258" s="339"/>
      <c r="BM258" s="339"/>
      <c r="BN258" s="339"/>
      <c r="BO258" s="339"/>
      <c r="BP258" s="339"/>
      <c r="BQ258" s="339">
        <f t="shared" si="115"/>
        <v>0</v>
      </c>
      <c r="BS258" s="339"/>
      <c r="BT258" s="339"/>
      <c r="BU258" s="339"/>
      <c r="BV258" s="339"/>
      <c r="BW258" s="339"/>
      <c r="BX258" s="339">
        <f t="shared" si="116"/>
        <v>0</v>
      </c>
      <c r="BZ258" s="339"/>
      <c r="CA258" s="339"/>
      <c r="CB258" s="339"/>
      <c r="CC258" s="339"/>
      <c r="CD258" s="339"/>
      <c r="CE258" s="339">
        <f t="shared" si="117"/>
        <v>0</v>
      </c>
      <c r="CG258" s="339"/>
      <c r="CH258" s="339"/>
      <c r="CI258" s="339"/>
      <c r="CJ258" s="339"/>
      <c r="CK258" s="339"/>
      <c r="CL258" s="339">
        <f t="shared" si="118"/>
        <v>0</v>
      </c>
      <c r="CN258" s="339"/>
      <c r="CO258" s="339"/>
      <c r="CP258" s="339"/>
      <c r="CQ258" s="339"/>
      <c r="CR258" s="339"/>
      <c r="CS258" s="339">
        <f t="shared" si="119"/>
        <v>0</v>
      </c>
      <c r="CU258" s="339"/>
      <c r="CV258" s="339"/>
      <c r="CW258" s="339"/>
      <c r="CX258" s="339"/>
      <c r="CY258" s="339"/>
      <c r="CZ258" s="339">
        <f t="shared" si="120"/>
        <v>0</v>
      </c>
      <c r="DB258" s="339"/>
      <c r="DC258" s="339"/>
      <c r="DD258" s="339"/>
      <c r="DE258" s="339"/>
      <c r="DF258" s="339"/>
      <c r="DG258" s="339">
        <f t="shared" si="121"/>
        <v>0</v>
      </c>
      <c r="DI258" s="339"/>
      <c r="DJ258" s="339"/>
      <c r="DK258" s="339"/>
      <c r="DL258" s="339"/>
      <c r="DM258" s="339"/>
      <c r="DN258" s="339">
        <f t="shared" si="122"/>
        <v>0</v>
      </c>
    </row>
    <row r="259" spans="19:118">
      <c r="S259" s="417"/>
      <c r="T259" s="417"/>
      <c r="V259" s="339"/>
      <c r="W259" s="339"/>
      <c r="X259" s="339"/>
      <c r="Y259" s="339"/>
      <c r="Z259" s="339"/>
      <c r="AA259" s="339">
        <f t="shared" si="109"/>
        <v>0</v>
      </c>
      <c r="AC259" s="339"/>
      <c r="AD259" s="339"/>
      <c r="AE259" s="339"/>
      <c r="AF259" s="339"/>
      <c r="AG259" s="339"/>
      <c r="AH259" s="339">
        <f t="shared" si="110"/>
        <v>0</v>
      </c>
      <c r="AJ259" s="339"/>
      <c r="AK259" s="339"/>
      <c r="AL259" s="339"/>
      <c r="AM259" s="339"/>
      <c r="AN259" s="339"/>
      <c r="AO259" s="339">
        <f t="shared" si="111"/>
        <v>0</v>
      </c>
      <c r="AQ259" s="339"/>
      <c r="AR259" s="339"/>
      <c r="AS259" s="339"/>
      <c r="AT259" s="339"/>
      <c r="AU259" s="339"/>
      <c r="AV259" s="339">
        <f t="shared" si="112"/>
        <v>0</v>
      </c>
      <c r="AX259" s="339"/>
      <c r="AY259" s="339"/>
      <c r="AZ259" s="339"/>
      <c r="BA259" s="339"/>
      <c r="BB259" s="339"/>
      <c r="BC259" s="339">
        <f t="shared" si="113"/>
        <v>0</v>
      </c>
      <c r="BE259" s="339"/>
      <c r="BF259" s="339"/>
      <c r="BG259" s="339"/>
      <c r="BH259" s="339"/>
      <c r="BI259" s="339"/>
      <c r="BJ259" s="339">
        <f t="shared" si="114"/>
        <v>0</v>
      </c>
      <c r="BL259" s="339"/>
      <c r="BM259" s="339"/>
      <c r="BN259" s="339"/>
      <c r="BO259" s="339"/>
      <c r="BP259" s="339"/>
      <c r="BQ259" s="339">
        <f t="shared" si="115"/>
        <v>0</v>
      </c>
      <c r="BS259" s="339"/>
      <c r="BT259" s="339"/>
      <c r="BU259" s="339"/>
      <c r="BV259" s="339"/>
      <c r="BW259" s="339"/>
      <c r="BX259" s="339">
        <f t="shared" si="116"/>
        <v>0</v>
      </c>
      <c r="BZ259" s="339"/>
      <c r="CA259" s="339"/>
      <c r="CB259" s="339"/>
      <c r="CC259" s="339"/>
      <c r="CD259" s="339"/>
      <c r="CE259" s="339">
        <f t="shared" si="117"/>
        <v>0</v>
      </c>
      <c r="CG259" s="339"/>
      <c r="CH259" s="339"/>
      <c r="CI259" s="339"/>
      <c r="CJ259" s="339"/>
      <c r="CK259" s="339"/>
      <c r="CL259" s="339">
        <f t="shared" si="118"/>
        <v>0</v>
      </c>
      <c r="CN259" s="339"/>
      <c r="CO259" s="339"/>
      <c r="CP259" s="339"/>
      <c r="CQ259" s="339"/>
      <c r="CR259" s="339"/>
      <c r="CS259" s="339">
        <f t="shared" si="119"/>
        <v>0</v>
      </c>
      <c r="CU259" s="339"/>
      <c r="CV259" s="339"/>
      <c r="CW259" s="339"/>
      <c r="CX259" s="339"/>
      <c r="CY259" s="339"/>
      <c r="CZ259" s="339">
        <f t="shared" si="120"/>
        <v>0</v>
      </c>
      <c r="DB259" s="339"/>
      <c r="DC259" s="339"/>
      <c r="DD259" s="339"/>
      <c r="DE259" s="339"/>
      <c r="DF259" s="339"/>
      <c r="DG259" s="339">
        <f t="shared" si="121"/>
        <v>0</v>
      </c>
      <c r="DI259" s="339"/>
      <c r="DJ259" s="339"/>
      <c r="DK259" s="339"/>
      <c r="DL259" s="339"/>
      <c r="DM259" s="339"/>
      <c r="DN259" s="339">
        <f t="shared" si="122"/>
        <v>0</v>
      </c>
    </row>
    <row r="260" spans="19:118">
      <c r="S260" s="417"/>
      <c r="T260" s="417"/>
      <c r="V260" s="339"/>
      <c r="W260" s="339"/>
      <c r="X260" s="339"/>
      <c r="Y260" s="339"/>
      <c r="Z260" s="339"/>
      <c r="AA260" s="339">
        <f t="shared" si="109"/>
        <v>0</v>
      </c>
      <c r="AC260" s="339"/>
      <c r="AD260" s="339"/>
      <c r="AE260" s="339"/>
      <c r="AF260" s="339"/>
      <c r="AG260" s="339"/>
      <c r="AH260" s="339">
        <f t="shared" si="110"/>
        <v>0</v>
      </c>
      <c r="AJ260" s="339"/>
      <c r="AK260" s="339"/>
      <c r="AL260" s="339"/>
      <c r="AM260" s="339"/>
      <c r="AN260" s="339"/>
      <c r="AO260" s="339">
        <f t="shared" si="111"/>
        <v>0</v>
      </c>
      <c r="AQ260" s="339"/>
      <c r="AR260" s="339"/>
      <c r="AS260" s="339"/>
      <c r="AT260" s="339"/>
      <c r="AU260" s="339"/>
      <c r="AV260" s="339">
        <f t="shared" si="112"/>
        <v>0</v>
      </c>
      <c r="AX260" s="339"/>
      <c r="AY260" s="339"/>
      <c r="AZ260" s="339"/>
      <c r="BA260" s="339"/>
      <c r="BB260" s="339"/>
      <c r="BC260" s="339">
        <f t="shared" si="113"/>
        <v>0</v>
      </c>
      <c r="BE260" s="339"/>
      <c r="BF260" s="339"/>
      <c r="BG260" s="339"/>
      <c r="BH260" s="339"/>
      <c r="BI260" s="339"/>
      <c r="BJ260" s="339">
        <f t="shared" si="114"/>
        <v>0</v>
      </c>
      <c r="BL260" s="339"/>
      <c r="BM260" s="339"/>
      <c r="BN260" s="339"/>
      <c r="BO260" s="339"/>
      <c r="BP260" s="339"/>
      <c r="BQ260" s="339">
        <f t="shared" si="115"/>
        <v>0</v>
      </c>
      <c r="BS260" s="339"/>
      <c r="BT260" s="339"/>
      <c r="BU260" s="339"/>
      <c r="BV260" s="339"/>
      <c r="BW260" s="339"/>
      <c r="BX260" s="339">
        <f t="shared" si="116"/>
        <v>0</v>
      </c>
      <c r="BZ260" s="339"/>
      <c r="CA260" s="339"/>
      <c r="CB260" s="339"/>
      <c r="CC260" s="339"/>
      <c r="CD260" s="339"/>
      <c r="CE260" s="339">
        <f t="shared" si="117"/>
        <v>0</v>
      </c>
      <c r="CG260" s="339"/>
      <c r="CH260" s="339"/>
      <c r="CI260" s="339"/>
      <c r="CJ260" s="339"/>
      <c r="CK260" s="339"/>
      <c r="CL260" s="339">
        <f t="shared" si="118"/>
        <v>0</v>
      </c>
      <c r="CN260" s="339"/>
      <c r="CO260" s="339"/>
      <c r="CP260" s="339"/>
      <c r="CQ260" s="339"/>
      <c r="CR260" s="339"/>
      <c r="CS260" s="339">
        <f t="shared" si="119"/>
        <v>0</v>
      </c>
      <c r="CU260" s="339"/>
      <c r="CV260" s="339"/>
      <c r="CW260" s="339"/>
      <c r="CX260" s="339"/>
      <c r="CY260" s="339"/>
      <c r="CZ260" s="339">
        <f t="shared" si="120"/>
        <v>0</v>
      </c>
      <c r="DB260" s="339"/>
      <c r="DC260" s="339"/>
      <c r="DD260" s="339"/>
      <c r="DE260" s="339"/>
      <c r="DF260" s="339"/>
      <c r="DG260" s="339">
        <f t="shared" si="121"/>
        <v>0</v>
      </c>
      <c r="DI260" s="339"/>
      <c r="DJ260" s="339"/>
      <c r="DK260" s="339"/>
      <c r="DL260" s="339"/>
      <c r="DM260" s="339"/>
      <c r="DN260" s="339">
        <f t="shared" si="122"/>
        <v>0</v>
      </c>
    </row>
    <row r="261" spans="19:118">
      <c r="S261" s="417"/>
      <c r="T261" s="417"/>
      <c r="V261" s="339"/>
      <c r="W261" s="339"/>
      <c r="X261" s="339"/>
      <c r="Y261" s="339"/>
      <c r="Z261" s="339"/>
      <c r="AA261" s="339">
        <f t="shared" si="109"/>
        <v>0</v>
      </c>
      <c r="AC261" s="339"/>
      <c r="AD261" s="339"/>
      <c r="AE261" s="339"/>
      <c r="AF261" s="339"/>
      <c r="AG261" s="339"/>
      <c r="AH261" s="339">
        <f t="shared" si="110"/>
        <v>0</v>
      </c>
      <c r="AJ261" s="339"/>
      <c r="AK261" s="339"/>
      <c r="AL261" s="339"/>
      <c r="AM261" s="339"/>
      <c r="AN261" s="339"/>
      <c r="AO261" s="339">
        <f t="shared" si="111"/>
        <v>0</v>
      </c>
      <c r="AQ261" s="339"/>
      <c r="AR261" s="339"/>
      <c r="AS261" s="339"/>
      <c r="AT261" s="339"/>
      <c r="AU261" s="339"/>
      <c r="AV261" s="339">
        <f t="shared" si="112"/>
        <v>0</v>
      </c>
      <c r="AX261" s="339"/>
      <c r="AY261" s="339"/>
      <c r="AZ261" s="339"/>
      <c r="BA261" s="339"/>
      <c r="BB261" s="339"/>
      <c r="BC261" s="339">
        <f t="shared" si="113"/>
        <v>0</v>
      </c>
      <c r="BE261" s="339"/>
      <c r="BF261" s="339"/>
      <c r="BG261" s="339"/>
      <c r="BH261" s="339"/>
      <c r="BI261" s="339"/>
      <c r="BJ261" s="339">
        <f t="shared" si="114"/>
        <v>0</v>
      </c>
      <c r="BL261" s="339"/>
      <c r="BM261" s="339"/>
      <c r="BN261" s="339"/>
      <c r="BO261" s="339"/>
      <c r="BP261" s="339"/>
      <c r="BQ261" s="339">
        <f t="shared" si="115"/>
        <v>0</v>
      </c>
      <c r="BS261" s="339"/>
      <c r="BT261" s="339"/>
      <c r="BU261" s="339"/>
      <c r="BV261" s="339"/>
      <c r="BW261" s="339"/>
      <c r="BX261" s="339">
        <f t="shared" si="116"/>
        <v>0</v>
      </c>
      <c r="BZ261" s="339"/>
      <c r="CA261" s="339"/>
      <c r="CB261" s="339"/>
      <c r="CC261" s="339"/>
      <c r="CD261" s="339"/>
      <c r="CE261" s="339">
        <f t="shared" si="117"/>
        <v>0</v>
      </c>
      <c r="CG261" s="339"/>
      <c r="CH261" s="339"/>
      <c r="CI261" s="339"/>
      <c r="CJ261" s="339"/>
      <c r="CK261" s="339"/>
      <c r="CL261" s="339">
        <f t="shared" si="118"/>
        <v>0</v>
      </c>
      <c r="CN261" s="339"/>
      <c r="CO261" s="339"/>
      <c r="CP261" s="339"/>
      <c r="CQ261" s="339"/>
      <c r="CR261" s="339"/>
      <c r="CS261" s="339">
        <f t="shared" si="119"/>
        <v>0</v>
      </c>
      <c r="CU261" s="339"/>
      <c r="CV261" s="339"/>
      <c r="CW261" s="339"/>
      <c r="CX261" s="339"/>
      <c r="CY261" s="339"/>
      <c r="CZ261" s="339">
        <f t="shared" si="120"/>
        <v>0</v>
      </c>
      <c r="DB261" s="339"/>
      <c r="DC261" s="339"/>
      <c r="DD261" s="339"/>
      <c r="DE261" s="339"/>
      <c r="DF261" s="339"/>
      <c r="DG261" s="339">
        <f t="shared" si="121"/>
        <v>0</v>
      </c>
      <c r="DI261" s="339"/>
      <c r="DJ261" s="339"/>
      <c r="DK261" s="339"/>
      <c r="DL261" s="339"/>
      <c r="DM261" s="339"/>
      <c r="DN261" s="339">
        <f t="shared" si="122"/>
        <v>0</v>
      </c>
    </row>
    <row r="262" spans="19:118">
      <c r="S262" s="417"/>
      <c r="T262" s="417"/>
      <c r="V262" s="339"/>
      <c r="W262" s="339"/>
      <c r="X262" s="339"/>
      <c r="Y262" s="339"/>
      <c r="Z262" s="339"/>
      <c r="AA262" s="339">
        <f t="shared" si="109"/>
        <v>0</v>
      </c>
      <c r="AC262" s="339"/>
      <c r="AD262" s="339"/>
      <c r="AE262" s="339"/>
      <c r="AF262" s="339"/>
      <c r="AG262" s="339"/>
      <c r="AH262" s="339">
        <f t="shared" si="110"/>
        <v>0</v>
      </c>
      <c r="AJ262" s="339"/>
      <c r="AK262" s="339"/>
      <c r="AL262" s="339"/>
      <c r="AM262" s="339"/>
      <c r="AN262" s="339"/>
      <c r="AO262" s="339">
        <f t="shared" si="111"/>
        <v>0</v>
      </c>
      <c r="AQ262" s="339"/>
      <c r="AR262" s="339"/>
      <c r="AS262" s="339"/>
      <c r="AT262" s="339"/>
      <c r="AU262" s="339"/>
      <c r="AV262" s="339">
        <f t="shared" si="112"/>
        <v>0</v>
      </c>
      <c r="AX262" s="339"/>
      <c r="AY262" s="339"/>
      <c r="AZ262" s="339"/>
      <c r="BA262" s="339"/>
      <c r="BB262" s="339"/>
      <c r="BC262" s="339">
        <f t="shared" si="113"/>
        <v>0</v>
      </c>
      <c r="BE262" s="339"/>
      <c r="BF262" s="339"/>
      <c r="BG262" s="339"/>
      <c r="BH262" s="339"/>
      <c r="BI262" s="339"/>
      <c r="BJ262" s="339">
        <f t="shared" si="114"/>
        <v>0</v>
      </c>
      <c r="BL262" s="339"/>
      <c r="BM262" s="339"/>
      <c r="BN262" s="339"/>
      <c r="BO262" s="339"/>
      <c r="BP262" s="339"/>
      <c r="BQ262" s="339">
        <f t="shared" si="115"/>
        <v>0</v>
      </c>
      <c r="BS262" s="339"/>
      <c r="BT262" s="339"/>
      <c r="BU262" s="339"/>
      <c r="BV262" s="339"/>
      <c r="BW262" s="339"/>
      <c r="BX262" s="339">
        <f t="shared" si="116"/>
        <v>0</v>
      </c>
      <c r="BZ262" s="339"/>
      <c r="CA262" s="339"/>
      <c r="CB262" s="339"/>
      <c r="CC262" s="339"/>
      <c r="CD262" s="339"/>
      <c r="CE262" s="339">
        <f t="shared" si="117"/>
        <v>0</v>
      </c>
      <c r="CG262" s="339"/>
      <c r="CH262" s="339"/>
      <c r="CI262" s="339"/>
      <c r="CJ262" s="339"/>
      <c r="CK262" s="339"/>
      <c r="CL262" s="339">
        <f t="shared" si="118"/>
        <v>0</v>
      </c>
      <c r="CN262" s="339"/>
      <c r="CO262" s="339"/>
      <c r="CP262" s="339"/>
      <c r="CQ262" s="339"/>
      <c r="CR262" s="339"/>
      <c r="CS262" s="339">
        <f t="shared" si="119"/>
        <v>0</v>
      </c>
      <c r="CU262" s="339"/>
      <c r="CV262" s="339"/>
      <c r="CW262" s="339"/>
      <c r="CX262" s="339"/>
      <c r="CY262" s="339"/>
      <c r="CZ262" s="339">
        <f t="shared" si="120"/>
        <v>0</v>
      </c>
      <c r="DB262" s="339"/>
      <c r="DC262" s="339"/>
      <c r="DD262" s="339"/>
      <c r="DE262" s="339"/>
      <c r="DF262" s="339"/>
      <c r="DG262" s="339">
        <f t="shared" si="121"/>
        <v>0</v>
      </c>
      <c r="DI262" s="339"/>
      <c r="DJ262" s="339"/>
      <c r="DK262" s="339"/>
      <c r="DL262" s="339"/>
      <c r="DM262" s="339"/>
      <c r="DN262" s="339">
        <f t="shared" si="122"/>
        <v>0</v>
      </c>
    </row>
    <row r="263" spans="19:118" ht="24.75" thickBot="1">
      <c r="S263" s="418">
        <f>ROUNDUP(SUM(S3:S262),0)</f>
        <v>411</v>
      </c>
      <c r="T263" s="418">
        <f>ROUNDUP(SUM(T3:T262),0)</f>
        <v>342</v>
      </c>
      <c r="V263" s="1515" t="str">
        <f>"รวม"&amp;V1</f>
        <v>รวม - ผนังก่ออิฐมวลเบา (A)</v>
      </c>
      <c r="W263" s="1516"/>
      <c r="X263" s="1516"/>
      <c r="Y263" s="1516"/>
      <c r="Z263" s="1517"/>
      <c r="AA263" s="418">
        <f>ROUNDUP(SUM(AA3:AA262),0)</f>
        <v>1736</v>
      </c>
      <c r="AC263" s="1515" t="str">
        <f>"รวม"&amp;AC1</f>
        <v>รวม - ผนังก่ออิฐมอญ ครึ่งแผ่น (B)</v>
      </c>
      <c r="AD263" s="1516"/>
      <c r="AE263" s="1516"/>
      <c r="AF263" s="1516"/>
      <c r="AG263" s="1517"/>
      <c r="AH263" s="418">
        <f>ROUNDUP(SUM(AH3:AH262),0)</f>
        <v>316</v>
      </c>
      <c r="AJ263" s="1515" t="str">
        <f>"รวม"&amp;AJ1</f>
        <v>รวม - ผนังโครงคร่าวกัลวาไนซ์ปิดทับแผ่นซีเมนต์บอร์ดชนิดกันน้ำ หนา 12 มม. (C)</v>
      </c>
      <c r="AK263" s="1516"/>
      <c r="AL263" s="1516"/>
      <c r="AM263" s="1516"/>
      <c r="AN263" s="1517"/>
      <c r="AO263" s="418">
        <f>ROUNDUP(SUM(AO3:AO262),0)</f>
        <v>493</v>
      </c>
      <c r="AQ263" s="1515" t="str">
        <f>"รวม"&amp;AQ1</f>
        <v>รวม - ผนังโครงคร่าวกัลวาไนซ์พร้อมติดตั้งฉนวนกันเสียง ปิดทับแผ่นยิปซั่มบอร์ด หนา 12 มม. (D)</v>
      </c>
      <c r="AR263" s="1516"/>
      <c r="AS263" s="1516"/>
      <c r="AT263" s="1516"/>
      <c r="AU263" s="1517"/>
      <c r="AV263" s="418">
        <f>ROUNDUP(SUM(AV3:AV262),0)</f>
        <v>129</v>
      </c>
      <c r="AX263" s="1515" t="str">
        <f>"รวม"&amp;AX1</f>
        <v>รวมA145 ทาสีภายนอก</v>
      </c>
      <c r="AY263" s="1516"/>
      <c r="AZ263" s="1516"/>
      <c r="BA263" s="1516"/>
      <c r="BB263" s="1517"/>
      <c r="BC263" s="418">
        <f>ROUNDUP(SUM(BC3:BC262),0)</f>
        <v>1882</v>
      </c>
      <c r="BE263" s="1515" t="str">
        <f>"รวม"&amp;BE1</f>
        <v>รวมA2 ทาสีภายใน</v>
      </c>
      <c r="BF263" s="1516"/>
      <c r="BG263" s="1516"/>
      <c r="BH263" s="1516"/>
      <c r="BI263" s="1517"/>
      <c r="BJ263" s="418">
        <f>ROUNDUP(SUM(BJ3:BJ262),0)</f>
        <v>1153</v>
      </c>
      <c r="BL263" s="1515" t="str">
        <f>"รวม"&amp;BL1</f>
        <v>รวมB145 ทาสีภายนอก</v>
      </c>
      <c r="BM263" s="1516"/>
      <c r="BN263" s="1516"/>
      <c r="BO263" s="1516"/>
      <c r="BP263" s="1517"/>
      <c r="BQ263" s="418">
        <f>ROUNDUP(SUM(BQ3:BQ262),0)</f>
        <v>145</v>
      </c>
      <c r="BS263" s="1515" t="str">
        <f>"รวม"&amp;BS1</f>
        <v>รวมB2 ทาสีภายใน</v>
      </c>
      <c r="BT263" s="1516"/>
      <c r="BU263" s="1516"/>
      <c r="BV263" s="1516"/>
      <c r="BW263" s="1517"/>
      <c r="BX263" s="418">
        <f>ROUNDUP(SUM(BX3:BX262),0)</f>
        <v>35</v>
      </c>
      <c r="BZ263" s="1515" t="str">
        <f>"รวม"&amp;BZ1</f>
        <v>รวมB3 กรุกระเบื้อง</v>
      </c>
      <c r="CA263" s="1516"/>
      <c r="CB263" s="1516"/>
      <c r="CC263" s="1516"/>
      <c r="CD263" s="1517"/>
      <c r="CE263" s="418">
        <f>ROUNDUP(SUM(CE3:CE262),0)</f>
        <v>242</v>
      </c>
      <c r="CG263" s="1515" t="str">
        <f>"รวม"&amp;CG1</f>
        <v>รวมC145 ทาสีภายนอก</v>
      </c>
      <c r="CH263" s="1516"/>
      <c r="CI263" s="1516"/>
      <c r="CJ263" s="1516"/>
      <c r="CK263" s="1517"/>
      <c r="CL263" s="418">
        <f>ROUNDUP(SUM(CL3:CL262),0)</f>
        <v>672</v>
      </c>
      <c r="CN263" s="1515" t="str">
        <f>"รวม"&amp;CN1</f>
        <v>รวมC2 ทาสีภายใน</v>
      </c>
      <c r="CO263" s="1516"/>
      <c r="CP263" s="1516"/>
      <c r="CQ263" s="1516"/>
      <c r="CR263" s="1517"/>
      <c r="CS263" s="418">
        <f>ROUNDUP(SUM(CS3:CS262),0)</f>
        <v>344</v>
      </c>
      <c r="CU263" s="1515" t="str">
        <f>"รวม"&amp;CU1</f>
        <v>รวมD2 ทาสีภายใน</v>
      </c>
      <c r="CV263" s="1516"/>
      <c r="CW263" s="1516"/>
      <c r="CX263" s="1516"/>
      <c r="CY263" s="1517"/>
      <c r="CZ263" s="418">
        <f>ROUNDUP(SUM(CZ3:CZ262),0)</f>
        <v>119</v>
      </c>
      <c r="DB263" s="1515" t="str">
        <f>"รวม"&amp;DB1</f>
        <v>รวมE145 ทาสีภายนอก</v>
      </c>
      <c r="DC263" s="1516"/>
      <c r="DD263" s="1516"/>
      <c r="DE263" s="1516"/>
      <c r="DF263" s="1517"/>
      <c r="DG263" s="418">
        <f>ROUNDUP(SUM(DG3:DG262),0)</f>
        <v>562</v>
      </c>
      <c r="DI263" s="1515" t="str">
        <f>"รวม"&amp;DI1</f>
        <v>รวมE2 ทาสีภายใน</v>
      </c>
      <c r="DJ263" s="1516"/>
      <c r="DK263" s="1516"/>
      <c r="DL263" s="1516"/>
      <c r="DM263" s="1517"/>
      <c r="DN263" s="418">
        <f>ROUNDUP(SUM(DN3:DN262),0)</f>
        <v>0</v>
      </c>
    </row>
    <row r="264" spans="19:118" ht="24.75" thickTop="1"/>
  </sheetData>
  <sheetProtection algorithmName="SHA-512" hashValue="ShSbPIWDqSZUmwL9Jx8wwFFLFPgDRbWJA6G9m5e7cXF4vZvYMdXICEBq7Q4fOziBHl2Q2L3MdIbrlAJwjpGsTg==" saltValue="BljXRQ1ikahrhE1HlRpOsw==" spinCount="100000" sheet="1" objects="1" scenarios="1" selectLockedCells="1" selectUnlockedCells="1"/>
  <mergeCells count="59">
    <mergeCell ref="BZ1:CE1"/>
    <mergeCell ref="AQ1:AV1"/>
    <mergeCell ref="AQ101:AV101"/>
    <mergeCell ref="A1:A2"/>
    <mergeCell ref="B1:B2"/>
    <mergeCell ref="C1:E1"/>
    <mergeCell ref="V1:AA1"/>
    <mergeCell ref="AC1:AH1"/>
    <mergeCell ref="AJ1:AO1"/>
    <mergeCell ref="AX1:BC1"/>
    <mergeCell ref="BE1:BJ1"/>
    <mergeCell ref="BL1:BQ1"/>
    <mergeCell ref="BS1:BX1"/>
    <mergeCell ref="BL212:BQ212"/>
    <mergeCell ref="BS212:BX212"/>
    <mergeCell ref="BZ212:CE212"/>
    <mergeCell ref="V101:AA101"/>
    <mergeCell ref="AC101:AH101"/>
    <mergeCell ref="AJ101:AO101"/>
    <mergeCell ref="AX101:BC101"/>
    <mergeCell ref="BE101:BJ101"/>
    <mergeCell ref="BL101:BQ101"/>
    <mergeCell ref="BS101:BX101"/>
    <mergeCell ref="BZ101:CE101"/>
    <mergeCell ref="AQ212:AV212"/>
    <mergeCell ref="V212:AA212"/>
    <mergeCell ref="AC212:AH212"/>
    <mergeCell ref="AJ212:AO212"/>
    <mergeCell ref="AX212:BC212"/>
    <mergeCell ref="BE212:BJ212"/>
    <mergeCell ref="V263:Z263"/>
    <mergeCell ref="AC263:AG263"/>
    <mergeCell ref="AJ263:AN263"/>
    <mergeCell ref="AX263:BB263"/>
    <mergeCell ref="BE263:BI263"/>
    <mergeCell ref="AQ263:AU263"/>
    <mergeCell ref="CG263:CK263"/>
    <mergeCell ref="CN1:CS1"/>
    <mergeCell ref="CN101:CS101"/>
    <mergeCell ref="CN212:CS212"/>
    <mergeCell ref="CN263:CR263"/>
    <mergeCell ref="CG212:CL212"/>
    <mergeCell ref="CG1:CL1"/>
    <mergeCell ref="DI1:DN1"/>
    <mergeCell ref="DI101:DN101"/>
    <mergeCell ref="DI212:DN212"/>
    <mergeCell ref="DI263:DM263"/>
    <mergeCell ref="BL263:BP263"/>
    <mergeCell ref="BS263:BW263"/>
    <mergeCell ref="BZ263:CD263"/>
    <mergeCell ref="CG101:CL101"/>
    <mergeCell ref="DB1:DG1"/>
    <mergeCell ref="DB101:DG101"/>
    <mergeCell ref="DB212:DG212"/>
    <mergeCell ref="DB263:DF263"/>
    <mergeCell ref="CU1:CZ1"/>
    <mergeCell ref="CU101:CZ101"/>
    <mergeCell ref="CU212:CZ212"/>
    <mergeCell ref="CU263:CY2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showGridLines="0" zoomScale="115" zoomScaleNormal="115" zoomScaleSheetLayoutView="100" workbookViewId="0">
      <selection activeCell="H28" sqref="H28"/>
    </sheetView>
  </sheetViews>
  <sheetFormatPr defaultColWidth="9" defaultRowHeight="24"/>
  <cols>
    <col min="1" max="1" width="10" style="1149" customWidth="1"/>
    <col min="2" max="2" width="17.42578125" style="1149" customWidth="1"/>
    <col min="3" max="3" width="27.140625" style="1149" customWidth="1"/>
    <col min="4" max="4" width="18.7109375" style="1149" customWidth="1"/>
    <col min="5" max="5" width="13.7109375" style="1149" customWidth="1"/>
    <col min="6" max="6" width="17.5703125" style="1149" customWidth="1"/>
    <col min="7" max="7" width="17" style="1149" customWidth="1"/>
    <col min="8" max="8" width="13.140625" style="1149" bestFit="1" customWidth="1"/>
    <col min="9" max="9" width="14.140625" style="1149" bestFit="1" customWidth="1"/>
    <col min="10" max="10" width="14.140625" style="1194" bestFit="1" customWidth="1"/>
    <col min="11" max="12" width="15.28515625" style="1149" bestFit="1" customWidth="1"/>
    <col min="13" max="16384" width="9" style="1149"/>
  </cols>
  <sheetData>
    <row r="1" spans="1:12" ht="25.15" customHeight="1">
      <c r="G1" s="1193" t="s">
        <v>1041</v>
      </c>
    </row>
    <row r="2" spans="1:12" ht="20.100000000000001" customHeight="1"/>
    <row r="3" spans="1:12" s="1150" customFormat="1" ht="25.15" customHeight="1">
      <c r="A3" s="1390" t="s">
        <v>0</v>
      </c>
      <c r="B3" s="1390"/>
      <c r="C3" s="1390"/>
      <c r="D3" s="1390"/>
      <c r="E3" s="1390"/>
      <c r="F3" s="1390"/>
      <c r="G3" s="1390"/>
      <c r="J3" s="1195"/>
    </row>
    <row r="4" spans="1:12" s="1153" customFormat="1" ht="24" customHeight="1">
      <c r="A4" s="1151" t="s">
        <v>18</v>
      </c>
      <c r="B4" s="1152"/>
      <c r="C4" s="1383" t="str">
        <f>ปร.6!C4</f>
        <v>โครงการปรับปรุงอาคาร 11 มหาวิทยาลัยเทคโนโลยีราชมงคลอีสาน วิทยาเขตขอนแก่น</v>
      </c>
      <c r="D4" s="1383"/>
      <c r="E4" s="1383"/>
      <c r="F4" s="1383"/>
      <c r="G4" s="1383"/>
      <c r="J4" s="1196"/>
    </row>
    <row r="5" spans="1:12" s="1153" customFormat="1" ht="24" customHeight="1">
      <c r="A5" s="1152" t="s">
        <v>19</v>
      </c>
      <c r="B5" s="1152"/>
      <c r="C5" s="1383" t="str">
        <f>ปร.6!C5</f>
        <v>มหาวิทยาลัยเทคโนโลยีราชมงคลอีสาน วิทยาเขตขอนแก่น ต.ในเมือง อ.เมืองขอนแก่น จ.ขอนแก่น</v>
      </c>
      <c r="D5" s="1383"/>
      <c r="E5" s="1383"/>
      <c r="F5" s="1383"/>
      <c r="G5" s="1383"/>
      <c r="J5" s="1196"/>
    </row>
    <row r="6" spans="1:12" s="1153" customFormat="1" ht="24" customHeight="1">
      <c r="A6" s="1152" t="s">
        <v>20</v>
      </c>
      <c r="B6" s="1152"/>
      <c r="C6" s="1383" t="s">
        <v>21</v>
      </c>
      <c r="D6" s="1383"/>
      <c r="E6" s="1383"/>
      <c r="J6" s="1196"/>
    </row>
    <row r="7" spans="1:12" s="1153" customFormat="1" ht="24" customHeight="1">
      <c r="A7" s="1152" t="s">
        <v>22</v>
      </c>
      <c r="B7" s="1152"/>
      <c r="C7" s="1383" t="str">
        <f>ปร.6!C7</f>
        <v>มหาวิทยาลัยเทคโนโลยีราชมงคลอีสาน วิทยาเขตขอนแก่น</v>
      </c>
      <c r="D7" s="1383"/>
      <c r="E7" s="1383"/>
      <c r="J7" s="1196"/>
    </row>
    <row r="8" spans="1:12" s="1153" customFormat="1" ht="24" customHeight="1">
      <c r="A8" s="1152" t="s">
        <v>1445</v>
      </c>
      <c r="B8" s="1152"/>
      <c r="C8" s="1383" t="s">
        <v>2469</v>
      </c>
      <c r="D8" s="1383"/>
      <c r="E8" s="1383"/>
      <c r="F8" s="1383"/>
      <c r="G8" s="1383"/>
      <c r="J8" s="1196"/>
    </row>
    <row r="9" spans="1:12" s="1153" customFormat="1" ht="24" customHeight="1">
      <c r="A9" s="1152" t="s">
        <v>1419</v>
      </c>
      <c r="B9" s="1152"/>
      <c r="C9" s="1197"/>
      <c r="D9" s="1197"/>
      <c r="E9" s="1197"/>
      <c r="F9" s="1197"/>
      <c r="G9" s="1197"/>
      <c r="J9" s="1196"/>
    </row>
    <row r="10" spans="1:12" ht="18" customHeight="1">
      <c r="G10" s="1198" t="s">
        <v>23</v>
      </c>
      <c r="K10" s="1194">
        <v>30425059.771677077</v>
      </c>
    </row>
    <row r="11" spans="1:12" s="522" customFormat="1" ht="25.15" customHeight="1">
      <c r="A11" s="1199" t="s">
        <v>11</v>
      </c>
      <c r="B11" s="1384" t="s">
        <v>1</v>
      </c>
      <c r="C11" s="1385"/>
      <c r="D11" s="1199" t="s">
        <v>24</v>
      </c>
      <c r="E11" s="1199" t="s">
        <v>25</v>
      </c>
      <c r="F11" s="1199" t="s">
        <v>26</v>
      </c>
      <c r="G11" s="1199" t="s">
        <v>5</v>
      </c>
      <c r="J11" s="1158"/>
    </row>
    <row r="12" spans="1:12" s="522" customFormat="1" ht="25.15" customHeight="1">
      <c r="A12" s="1200">
        <v>1</v>
      </c>
      <c r="B12" s="1386" t="str">
        <f>'ปร.4 (รื้อถอน)'!B14</f>
        <v>หมวดงานเตรียมการก่อสร้างและรื้อถอน</v>
      </c>
      <c r="C12" s="1387"/>
      <c r="D12" s="1201">
        <f>'ปร.4 (รื้อถอน)'!I59</f>
        <v>622835</v>
      </c>
      <c r="E12" s="1202"/>
      <c r="F12" s="1201"/>
      <c r="G12" s="1203"/>
      <c r="H12" s="1159" t="s">
        <v>2200</v>
      </c>
      <c r="I12" s="1158">
        <f>'ปร.4 (รื้อถอน)'!I59+'ปร.4 (โครงสร้าง)'!I22+'ปร.4 (โครงสร้าง)'!I26</f>
        <v>1715285</v>
      </c>
      <c r="J12" s="1158">
        <f t="shared" ref="J12:J20" si="0">I12*$E$19</f>
        <v>2102767.8815000001</v>
      </c>
      <c r="K12" s="1159">
        <f t="shared" ref="K12:K20" si="1">J12*100/$K$10</f>
        <v>6.9113023845477635</v>
      </c>
    </row>
    <row r="13" spans="1:12" s="522" customFormat="1" ht="25.15" customHeight="1">
      <c r="A13" s="1200">
        <v>2</v>
      </c>
      <c r="B13" s="1386" t="str">
        <f>'ปร.4 (โครงสร้าง)'!B14</f>
        <v>หมวดงานโครงสร้าง</v>
      </c>
      <c r="C13" s="1387"/>
      <c r="D13" s="1201">
        <f>'ปร.4 (โครงสร้าง)'!I745</f>
        <v>8748357.6100000013</v>
      </c>
      <c r="E13" s="1202"/>
      <c r="F13" s="1201"/>
      <c r="G13" s="1204"/>
      <c r="H13" s="1159" t="s">
        <v>2201</v>
      </c>
      <c r="I13" s="1158">
        <f>'ปร.4 (โครงสร้าง)'!I40+'ปร.4 (โครงสร้าง)'!I54+'ปร.4 (โครงสร้าง)'!I67+'ปร.4 (โครงสร้าง)'!I79+'ปร.4 (โครงสร้าง)'!I89+'ปร.4 (โครงสร้าง)'!I99+'ปร.4 (โครงสร้าง)'!I109+'ปร.4 (โครงสร้าง)'!I119+'ปร.4 (โครงสร้าง)'!I265</f>
        <v>1314722.8999999999</v>
      </c>
      <c r="J13" s="1158">
        <f t="shared" si="0"/>
        <v>1611718.80311</v>
      </c>
      <c r="K13" s="1159">
        <f t="shared" si="1"/>
        <v>5.2973398087137413</v>
      </c>
    </row>
    <row r="14" spans="1:12" s="522" customFormat="1" ht="25.15" customHeight="1">
      <c r="A14" s="1200">
        <v>3</v>
      </c>
      <c r="B14" s="1386" t="str">
        <f>'ปร.4 (สถาปัต)'!B14</f>
        <v xml:space="preserve">หมวดงานสถาปัตยกรรม </v>
      </c>
      <c r="C14" s="1387"/>
      <c r="D14" s="1201">
        <f>'ปร.4 (สถาปัต)'!I237</f>
        <v>9091723.2064229771</v>
      </c>
      <c r="E14" s="1202"/>
      <c r="F14" s="1201"/>
      <c r="G14" s="1204"/>
      <c r="H14" s="1159" t="s">
        <v>2202</v>
      </c>
      <c r="I14" s="1158">
        <f>'ปร.4 (โครงสร้าง)'!I451+'ปร.4 (โครงสร้าง)'!I531+'ปร.4 (โครงสร้าง)'!I307+'ปร.4 (โครงสร้าง)'!I479+45811</f>
        <v>2337467.9699999997</v>
      </c>
      <c r="J14" s="1158">
        <f t="shared" si="0"/>
        <v>2865501.9844229994</v>
      </c>
      <c r="K14" s="1159">
        <f t="shared" si="1"/>
        <v>9.4182295973351469</v>
      </c>
    </row>
    <row r="15" spans="1:12" s="522" customFormat="1" ht="25.15" customHeight="1">
      <c r="A15" s="1200">
        <v>4</v>
      </c>
      <c r="B15" s="1386" t="str">
        <f>'ปร.4 (สุขาภิบาล)'!B14</f>
        <v>หมวดงานระบบสุขาภิบาล</v>
      </c>
      <c r="C15" s="1387"/>
      <c r="D15" s="1201">
        <f>'ปร.4 (สุขาภิบาล)'!I126</f>
        <v>1070823.8876499999</v>
      </c>
      <c r="E15" s="1202"/>
      <c r="F15" s="1201"/>
      <c r="G15" s="1203"/>
      <c r="H15" s="1159" t="s">
        <v>2203</v>
      </c>
      <c r="I15" s="1158">
        <v>4215072.76</v>
      </c>
      <c r="J15" s="1158">
        <f t="shared" si="0"/>
        <v>5167257.6964839995</v>
      </c>
      <c r="K15" s="1159">
        <f t="shared" si="1"/>
        <v>16.983558077654919</v>
      </c>
      <c r="L15" s="1159">
        <f>SUM(J12:J15)</f>
        <v>11747246.365516998</v>
      </c>
    </row>
    <row r="16" spans="1:12" s="1206" customFormat="1" ht="25.15" customHeight="1">
      <c r="A16" s="1200">
        <v>5</v>
      </c>
      <c r="B16" s="1386" t="str">
        <f>'ปร.4 (งานระบบไฟฟ้า)'!B14</f>
        <v>หมวดงานระบบไฟฟ้าและสื่อสาร</v>
      </c>
      <c r="C16" s="1387"/>
      <c r="D16" s="1201">
        <f>'ปร.4 (งานระบบไฟฟ้า)'!I139</f>
        <v>3717266.5317136068</v>
      </c>
      <c r="E16" s="1202"/>
      <c r="F16" s="1201"/>
      <c r="G16" s="1204"/>
      <c r="H16" s="1159" t="s">
        <v>2204</v>
      </c>
      <c r="I16" s="1205">
        <v>3037875.15</v>
      </c>
      <c r="J16" s="1158">
        <f t="shared" si="0"/>
        <v>3724131.1463850001</v>
      </c>
      <c r="K16" s="1159">
        <f t="shared" si="1"/>
        <v>12.24034126582661</v>
      </c>
    </row>
    <row r="17" spans="1:11" s="522" customFormat="1" ht="25.15" customHeight="1">
      <c r="A17" s="1200">
        <v>6</v>
      </c>
      <c r="B17" s="1386" t="str">
        <f>'ปร.4 (งานปรับอากาศ)'!B14</f>
        <v>หมวดงานระบบปรับอากาศและระบบระบายอากาศ</v>
      </c>
      <c r="C17" s="1387"/>
      <c r="D17" s="1201">
        <f>'ปร.4 (งานปรับอากาศ)'!I127</f>
        <v>1105977.6200000001</v>
      </c>
      <c r="E17" s="1202"/>
      <c r="F17" s="1201"/>
      <c r="G17" s="1204"/>
      <c r="H17" s="1159" t="s">
        <v>2205</v>
      </c>
      <c r="I17" s="1158">
        <v>3286577.0911529767</v>
      </c>
      <c r="J17" s="1158">
        <f t="shared" si="0"/>
        <v>4029014.856044434</v>
      </c>
      <c r="K17" s="1159">
        <f t="shared" si="1"/>
        <v>13.242422155551772</v>
      </c>
    </row>
    <row r="18" spans="1:11" ht="25.15" customHeight="1">
      <c r="A18" s="1200"/>
      <c r="B18" s="1386"/>
      <c r="C18" s="1387"/>
      <c r="D18" s="1201"/>
      <c r="E18" s="1202"/>
      <c r="F18" s="1201"/>
      <c r="G18" s="1207"/>
      <c r="H18" s="1159" t="s">
        <v>2206</v>
      </c>
      <c r="I18" s="1194">
        <v>1742651.97</v>
      </c>
      <c r="J18" s="1158">
        <f t="shared" si="0"/>
        <v>2136317.0500229998</v>
      </c>
      <c r="K18" s="1159">
        <f t="shared" si="1"/>
        <v>7.0215705936318775</v>
      </c>
    </row>
    <row r="19" spans="1:11" s="522" customFormat="1" ht="25.15" customHeight="1">
      <c r="A19" s="1208"/>
      <c r="B19" s="1388" t="s">
        <v>28</v>
      </c>
      <c r="C19" s="1389"/>
      <c r="D19" s="1209">
        <f>SUM(D12:D18)</f>
        <v>24356983.855786581</v>
      </c>
      <c r="E19" s="1234">
        <v>1.2259</v>
      </c>
      <c r="F19" s="1209">
        <f>D19*E19</f>
        <v>29859226.508808769</v>
      </c>
      <c r="G19" s="1207"/>
      <c r="H19" s="1159" t="s">
        <v>2207</v>
      </c>
      <c r="I19" s="1158">
        <v>2300252.6337333336</v>
      </c>
      <c r="J19" s="1158">
        <f t="shared" si="0"/>
        <v>2819879.7036936935</v>
      </c>
      <c r="K19" s="1159">
        <f t="shared" si="1"/>
        <v>9.2682799141737142</v>
      </c>
    </row>
    <row r="20" spans="1:11" s="522" customFormat="1" ht="25.15" customHeight="1">
      <c r="A20" s="1208"/>
      <c r="B20" s="1388" t="s">
        <v>29</v>
      </c>
      <c r="C20" s="1389"/>
      <c r="D20" s="1201"/>
      <c r="E20" s="1201"/>
      <c r="F20" s="1201"/>
      <c r="G20" s="1201"/>
      <c r="H20" s="1159" t="s">
        <v>2208</v>
      </c>
      <c r="I20" s="1158">
        <v>2372965.676</v>
      </c>
      <c r="J20" s="1158">
        <f t="shared" si="0"/>
        <v>2909018.6222084002</v>
      </c>
      <c r="K20" s="1159">
        <f t="shared" si="1"/>
        <v>9.5612585284595841</v>
      </c>
    </row>
    <row r="21" spans="1:11" s="522" customFormat="1" ht="25.15" customHeight="1">
      <c r="A21" s="1208"/>
      <c r="B21" s="1210" t="s">
        <v>2467</v>
      </c>
      <c r="C21" s="1211"/>
      <c r="D21" s="1201"/>
      <c r="E21" s="1201"/>
      <c r="F21" s="1201"/>
      <c r="G21" s="1201"/>
      <c r="H21" s="1159" t="s">
        <v>2209</v>
      </c>
      <c r="I21" s="1158"/>
      <c r="J21" s="1158"/>
    </row>
    <row r="22" spans="1:11" s="522" customFormat="1" ht="25.15" customHeight="1">
      <c r="A22" s="1208"/>
      <c r="B22" s="1210" t="s">
        <v>42</v>
      </c>
      <c r="C22" s="1211"/>
      <c r="D22" s="1201"/>
      <c r="E22" s="1201"/>
      <c r="F22" s="1201"/>
      <c r="G22" s="1201"/>
      <c r="J22" s="1158"/>
      <c r="K22" s="1159">
        <f>SUM(K12:K21)</f>
        <v>89.944302325895137</v>
      </c>
    </row>
    <row r="23" spans="1:11" s="522" customFormat="1" ht="25.15" customHeight="1">
      <c r="A23" s="1200"/>
      <c r="B23" s="1210" t="s">
        <v>1369</v>
      </c>
      <c r="C23" s="1211"/>
      <c r="D23" s="1201"/>
      <c r="E23" s="1201"/>
      <c r="F23" s="1201"/>
      <c r="G23" s="1201"/>
      <c r="J23" s="1158"/>
    </row>
    <row r="24" spans="1:11" s="522" customFormat="1" ht="25.15" customHeight="1">
      <c r="A24" s="1200"/>
      <c r="B24" s="1210" t="s">
        <v>2468</v>
      </c>
      <c r="C24" s="1211"/>
      <c r="D24" s="1201"/>
      <c r="E24" s="1201"/>
      <c r="F24" s="1201"/>
      <c r="G24" s="1201"/>
      <c r="J24" s="1158"/>
    </row>
    <row r="25" spans="1:11" ht="25.15" customHeight="1" thickBot="1">
      <c r="A25" s="1380" t="s">
        <v>104</v>
      </c>
      <c r="B25" s="1381"/>
      <c r="C25" s="1381"/>
      <c r="D25" s="1381"/>
      <c r="E25" s="1382"/>
      <c r="F25" s="1212">
        <f>SUM(F19)</f>
        <v>29859226.508808769</v>
      </c>
      <c r="G25" s="1213"/>
    </row>
    <row r="26" spans="1:11" s="1161" customFormat="1" ht="24.75" thickTop="1">
      <c r="B26" s="515"/>
      <c r="C26" s="515"/>
      <c r="D26" s="515"/>
      <c r="F26" s="1149"/>
      <c r="J26" s="1214"/>
    </row>
    <row r="27" spans="1:11" ht="25.15" customHeight="1">
      <c r="B27" s="1184"/>
      <c r="C27" s="1160" t="s">
        <v>2473</v>
      </c>
      <c r="D27" s="1160"/>
      <c r="E27" s="1215">
        <v>3153.2</v>
      </c>
      <c r="F27" s="1216" t="s">
        <v>6</v>
      </c>
      <c r="G27" s="1184"/>
      <c r="H27" s="1149">
        <f>F25/E27</f>
        <v>9469.4997173692664</v>
      </c>
    </row>
    <row r="28" spans="1:11" ht="25.15" customHeight="1">
      <c r="B28" s="1184"/>
      <c r="C28" s="1160" t="s">
        <v>328</v>
      </c>
      <c r="D28" s="1160"/>
      <c r="E28" s="1217">
        <v>9469.5</v>
      </c>
      <c r="F28" s="1216" t="s">
        <v>329</v>
      </c>
      <c r="G28" s="1184"/>
    </row>
    <row r="31" spans="1:11">
      <c r="B31" s="1377" t="s">
        <v>1435</v>
      </c>
      <c r="C31" s="1377"/>
      <c r="D31" s="1377"/>
      <c r="E31" s="1377"/>
      <c r="F31" s="1377"/>
    </row>
    <row r="32" spans="1:11">
      <c r="B32" s="1378" t="s">
        <v>1440</v>
      </c>
      <c r="C32" s="1378"/>
      <c r="D32" s="1378"/>
      <c r="E32" s="1378"/>
      <c r="F32" s="1378"/>
    </row>
    <row r="33" spans="2:6">
      <c r="B33" s="1378" t="s">
        <v>1436</v>
      </c>
      <c r="C33" s="1378"/>
      <c r="D33" s="1378"/>
      <c r="E33" s="1378"/>
      <c r="F33" s="1378"/>
    </row>
    <row r="34" spans="2:6">
      <c r="B34" s="523"/>
      <c r="C34" s="1138"/>
      <c r="D34" s="1138"/>
      <c r="E34" s="523"/>
      <c r="F34" s="523"/>
    </row>
    <row r="35" spans="2:6">
      <c r="B35" s="1139" t="s">
        <v>1437</v>
      </c>
      <c r="C35" s="524"/>
      <c r="D35" s="1379" t="s">
        <v>1438</v>
      </c>
      <c r="E35" s="1379"/>
      <c r="F35" s="1379"/>
    </row>
    <row r="36" spans="2:6">
      <c r="B36" s="1136" t="s">
        <v>1441</v>
      </c>
      <c r="C36" s="524"/>
      <c r="D36" s="1376" t="s">
        <v>1442</v>
      </c>
      <c r="E36" s="1376"/>
      <c r="F36" s="1376"/>
    </row>
    <row r="37" spans="2:6">
      <c r="B37" s="1136" t="s">
        <v>1439</v>
      </c>
      <c r="C37" s="524"/>
      <c r="D37" s="1376" t="s">
        <v>1439</v>
      </c>
      <c r="E37" s="1376"/>
      <c r="F37" s="1376"/>
    </row>
    <row r="38" spans="2:6">
      <c r="B38" s="1137"/>
      <c r="C38" s="1377"/>
      <c r="D38" s="1377"/>
      <c r="E38" s="1377"/>
      <c r="F38" s="1137"/>
    </row>
  </sheetData>
  <mergeCells count="24">
    <mergeCell ref="A3:G3"/>
    <mergeCell ref="C4:G4"/>
    <mergeCell ref="C5:G5"/>
    <mergeCell ref="C6:E6"/>
    <mergeCell ref="C7:E7"/>
    <mergeCell ref="A25:E25"/>
    <mergeCell ref="C8:G8"/>
    <mergeCell ref="B11:C11"/>
    <mergeCell ref="B12:C12"/>
    <mergeCell ref="B13:C13"/>
    <mergeCell ref="B14:C14"/>
    <mergeCell ref="B15:C15"/>
    <mergeCell ref="B19:C19"/>
    <mergeCell ref="B20:C20"/>
    <mergeCell ref="B18:C18"/>
    <mergeCell ref="B17:C17"/>
    <mergeCell ref="B16:C16"/>
    <mergeCell ref="D37:F37"/>
    <mergeCell ref="C38:E38"/>
    <mergeCell ref="B31:F31"/>
    <mergeCell ref="B32:F32"/>
    <mergeCell ref="B33:F33"/>
    <mergeCell ref="D35:F35"/>
    <mergeCell ref="D36:F36"/>
  </mergeCells>
  <phoneticPr fontId="11" type="noConversion"/>
  <printOptions horizontalCentered="1"/>
  <pageMargins left="0.31496062992125984" right="0.31496062992125984" top="0.19685039370078741" bottom="0.15748031496062992" header="0.19685039370078741" footer="0.15748031496062992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view="pageBreakPreview" zoomScale="80" zoomScaleNormal="80" zoomScaleSheetLayoutView="80" workbookViewId="0">
      <selection activeCell="I18" sqref="I18"/>
    </sheetView>
  </sheetViews>
  <sheetFormatPr defaultColWidth="14.7109375" defaultRowHeight="24"/>
  <cols>
    <col min="1" max="1" width="14.7109375" style="1149"/>
    <col min="2" max="2" width="12.7109375" style="1149" customWidth="1"/>
    <col min="3" max="3" width="19.140625" style="1149" customWidth="1"/>
    <col min="4" max="5" width="14.7109375" style="1149"/>
    <col min="6" max="6" width="15.7109375" style="1149" customWidth="1"/>
    <col min="7" max="16384" width="14.7109375" style="1149"/>
  </cols>
  <sheetData>
    <row r="1" spans="1:7" ht="29.25" customHeight="1">
      <c r="G1" s="1218" t="s">
        <v>30</v>
      </c>
    </row>
    <row r="2" spans="1:7" ht="29.25" customHeight="1"/>
    <row r="3" spans="1:7" s="1150" customFormat="1" ht="29.25" customHeight="1">
      <c r="A3" s="1398" t="s">
        <v>31</v>
      </c>
      <c r="B3" s="1398"/>
      <c r="C3" s="1398"/>
      <c r="D3" s="1398"/>
      <c r="E3" s="1398"/>
      <c r="F3" s="1398"/>
      <c r="G3" s="1398"/>
    </row>
    <row r="4" spans="1:7" s="1150" customFormat="1" ht="21.75" customHeight="1">
      <c r="A4" s="1219" t="s">
        <v>32</v>
      </c>
      <c r="B4" s="1220"/>
      <c r="C4" s="1219" t="s">
        <v>331</v>
      </c>
      <c r="D4" s="1220"/>
      <c r="E4" s="1220"/>
      <c r="F4" s="1220"/>
      <c r="G4" s="1220"/>
    </row>
    <row r="5" spans="1:7" s="1153" customFormat="1" ht="26.25" customHeight="1">
      <c r="A5" s="1219" t="s">
        <v>18</v>
      </c>
      <c r="B5" s="1152"/>
      <c r="C5" s="1383" t="str">
        <f>ปร.6!C4</f>
        <v>โครงการปรับปรุงอาคาร 11 มหาวิทยาลัยเทคโนโลยีราชมงคลอีสาน วิทยาเขตขอนแก่น</v>
      </c>
      <c r="D5" s="1383"/>
      <c r="E5" s="1383"/>
      <c r="F5" s="1383"/>
      <c r="G5" s="1383"/>
    </row>
    <row r="6" spans="1:7" s="1153" customFormat="1" ht="21.75" customHeight="1">
      <c r="A6" s="1152" t="s">
        <v>19</v>
      </c>
      <c r="B6" s="1152"/>
      <c r="C6" s="1383" t="str">
        <f>ปร.6!C5</f>
        <v>มหาวิทยาลัยเทคโนโลยีราชมงคลอีสาน วิทยาเขตขอนแก่น ต.ในเมือง อ.เมืองขอนแก่น จ.ขอนแก่น</v>
      </c>
      <c r="D6" s="1383"/>
      <c r="E6" s="1383"/>
      <c r="F6" s="1383"/>
      <c r="G6" s="1383"/>
    </row>
    <row r="7" spans="1:7" s="1153" customFormat="1" ht="21.75" customHeight="1">
      <c r="A7" s="1152" t="s">
        <v>20</v>
      </c>
      <c r="B7" s="1152"/>
      <c r="C7" s="1383" t="s">
        <v>21</v>
      </c>
      <c r="D7" s="1383"/>
      <c r="E7" s="1383"/>
      <c r="F7" s="1383"/>
      <c r="G7" s="1383"/>
    </row>
    <row r="8" spans="1:7" s="1153" customFormat="1" ht="21.75" customHeight="1">
      <c r="A8" s="1152" t="s">
        <v>22</v>
      </c>
      <c r="B8" s="1152"/>
      <c r="C8" s="1383" t="str">
        <f>ปร.6!C7</f>
        <v>มหาวิทยาลัยเทคโนโลยีราชมงคลอีสาน วิทยาเขตขอนแก่น</v>
      </c>
      <c r="D8" s="1383"/>
      <c r="E8" s="1383"/>
      <c r="F8" s="1383"/>
      <c r="G8" s="1383"/>
    </row>
    <row r="9" spans="1:7" s="1153" customFormat="1" ht="21.75" customHeight="1">
      <c r="A9" s="1152" t="s">
        <v>1446</v>
      </c>
      <c r="B9" s="1152"/>
      <c r="C9" s="1383" t="s">
        <v>2470</v>
      </c>
      <c r="D9" s="1383"/>
      <c r="E9" s="1383"/>
      <c r="F9" s="1383"/>
      <c r="G9" s="1383"/>
    </row>
    <row r="10" spans="1:7" s="1153" customFormat="1" ht="21.75" customHeight="1">
      <c r="A10" s="1152" t="s">
        <v>1443</v>
      </c>
      <c r="B10" s="1152"/>
      <c r="C10" s="1395" t="s">
        <v>1444</v>
      </c>
      <c r="D10" s="1395"/>
      <c r="E10" s="1395"/>
      <c r="F10" s="1395"/>
      <c r="G10" s="1395"/>
    </row>
    <row r="11" spans="1:7" ht="21.75" customHeight="1">
      <c r="G11" s="1218" t="s">
        <v>23</v>
      </c>
    </row>
    <row r="12" spans="1:7" s="522" customFormat="1" ht="30" customHeight="1">
      <c r="A12" s="1199" t="s">
        <v>11</v>
      </c>
      <c r="B12" s="1396" t="s">
        <v>1</v>
      </c>
      <c r="C12" s="1397"/>
      <c r="D12" s="1199" t="s">
        <v>33</v>
      </c>
      <c r="E12" s="1199" t="s">
        <v>10</v>
      </c>
      <c r="F12" s="1199" t="s">
        <v>26</v>
      </c>
      <c r="G12" s="1199" t="s">
        <v>5</v>
      </c>
    </row>
    <row r="13" spans="1:7" s="522" customFormat="1" ht="25.15" customHeight="1">
      <c r="A13" s="1221"/>
      <c r="B13" s="1386"/>
      <c r="C13" s="1387"/>
      <c r="D13" s="1157"/>
      <c r="E13" s="1157"/>
      <c r="F13" s="1157"/>
      <c r="G13" s="1157"/>
    </row>
    <row r="14" spans="1:7" s="522" customFormat="1" ht="25.15" customHeight="1">
      <c r="A14" s="1222">
        <v>1</v>
      </c>
      <c r="B14" s="1386" t="s">
        <v>332</v>
      </c>
      <c r="C14" s="1387"/>
      <c r="D14" s="1201">
        <f>'ปร.4 (ครุภัณฑ์)'!I33</f>
        <v>476460</v>
      </c>
      <c r="E14" s="1201">
        <v>1.07</v>
      </c>
      <c r="F14" s="1201">
        <f>D14*E14</f>
        <v>509812.2</v>
      </c>
      <c r="G14" s="1200"/>
    </row>
    <row r="15" spans="1:7" s="522" customFormat="1" ht="25.15" customHeight="1">
      <c r="A15" s="1154"/>
      <c r="B15" s="1235"/>
      <c r="C15" s="1236"/>
      <c r="D15" s="1224"/>
      <c r="E15" s="1224"/>
      <c r="F15" s="1224"/>
      <c r="G15" s="1223"/>
    </row>
    <row r="16" spans="1:7" s="522" customFormat="1" ht="25.15" customHeight="1">
      <c r="A16" s="1154"/>
      <c r="B16" s="1235"/>
      <c r="C16" s="1236"/>
      <c r="D16" s="1224"/>
      <c r="E16" s="1224"/>
      <c r="F16" s="1224"/>
      <c r="G16" s="1223"/>
    </row>
    <row r="17" spans="1:7" s="522" customFormat="1" ht="25.15" customHeight="1">
      <c r="A17" s="1154"/>
      <c r="B17" s="1235"/>
      <c r="C17" s="1236"/>
      <c r="D17" s="1224"/>
      <c r="E17" s="1224"/>
      <c r="F17" s="1224"/>
      <c r="G17" s="1223"/>
    </row>
    <row r="18" spans="1:7" s="522" customFormat="1" ht="25.15" customHeight="1">
      <c r="A18" s="1223"/>
      <c r="B18" s="1393"/>
      <c r="C18" s="1394"/>
      <c r="D18" s="1224"/>
      <c r="E18" s="1224"/>
      <c r="F18" s="1224"/>
      <c r="G18" s="1224"/>
    </row>
    <row r="19" spans="1:7" s="522" customFormat="1" ht="25.15" customHeight="1">
      <c r="A19" s="1230"/>
      <c r="B19" s="1231"/>
      <c r="C19" s="1231"/>
      <c r="D19" s="1232"/>
      <c r="E19" s="1233" t="s">
        <v>2</v>
      </c>
      <c r="F19" s="1156">
        <f>SUM(F14:F18)</f>
        <v>509812.2</v>
      </c>
      <c r="G19" s="1155"/>
    </row>
    <row r="20" spans="1:7" s="522" customFormat="1" ht="25.15" customHeight="1">
      <c r="A20" s="1225"/>
      <c r="B20" s="1226"/>
      <c r="C20" s="1226"/>
      <c r="D20" s="1228"/>
      <c r="E20" s="1228"/>
      <c r="F20" s="1228"/>
      <c r="G20" s="1227"/>
    </row>
    <row r="21" spans="1:7" s="1229" customFormat="1" ht="25.15" customHeight="1">
      <c r="A21" s="1149"/>
      <c r="B21" s="1377" t="s">
        <v>1435</v>
      </c>
      <c r="C21" s="1377"/>
      <c r="D21" s="1377"/>
      <c r="E21" s="1377"/>
      <c r="F21" s="1377"/>
      <c r="G21" s="1227"/>
    </row>
    <row r="22" spans="1:7" s="1229" customFormat="1" ht="25.15" customHeight="1">
      <c r="A22" s="1149"/>
      <c r="B22" s="1378" t="s">
        <v>1440</v>
      </c>
      <c r="C22" s="1378"/>
      <c r="D22" s="1378"/>
      <c r="E22" s="1378"/>
      <c r="F22" s="1378"/>
      <c r="G22" s="1227"/>
    </row>
    <row r="23" spans="1:7" s="1229" customFormat="1" ht="25.15" customHeight="1">
      <c r="A23" s="1149"/>
      <c r="B23" s="1378" t="s">
        <v>1436</v>
      </c>
      <c r="C23" s="1378"/>
      <c r="D23" s="1378"/>
      <c r="E23" s="1378"/>
      <c r="F23" s="1378"/>
      <c r="G23" s="1227"/>
    </row>
    <row r="24" spans="1:7" s="1229" customFormat="1" ht="25.15" customHeight="1">
      <c r="A24" s="1149"/>
      <c r="B24" s="523"/>
      <c r="C24" s="1138"/>
      <c r="D24" s="1138"/>
      <c r="E24" s="523"/>
      <c r="F24" s="523"/>
      <c r="G24" s="1227"/>
    </row>
    <row r="25" spans="1:7" s="1229" customFormat="1" ht="25.15" customHeight="1">
      <c r="A25" s="1149"/>
      <c r="B25" s="1139" t="s">
        <v>1437</v>
      </c>
      <c r="C25" s="524"/>
      <c r="D25" s="1379" t="s">
        <v>1438</v>
      </c>
      <c r="E25" s="1379"/>
      <c r="F25" s="1379"/>
      <c r="G25" s="1227"/>
    </row>
    <row r="26" spans="1:7" s="1229" customFormat="1" ht="25.15" customHeight="1">
      <c r="A26" s="1149"/>
      <c r="B26" s="1136" t="s">
        <v>1441</v>
      </c>
      <c r="C26" s="524"/>
      <c r="D26" s="1376" t="s">
        <v>1442</v>
      </c>
      <c r="E26" s="1376"/>
      <c r="F26" s="1376"/>
      <c r="G26" s="1227"/>
    </row>
    <row r="27" spans="1:7" s="522" customFormat="1" ht="25.15" customHeight="1">
      <c r="A27" s="1149"/>
      <c r="B27" s="1136" t="s">
        <v>1439</v>
      </c>
      <c r="C27" s="1237"/>
      <c r="D27" s="1391" t="s">
        <v>1439</v>
      </c>
      <c r="E27" s="1391"/>
      <c r="F27" s="1391"/>
      <c r="G27" s="1227"/>
    </row>
    <row r="28" spans="1:7" ht="30" customHeight="1">
      <c r="B28" s="1137"/>
      <c r="C28" s="1392"/>
      <c r="D28" s="1392"/>
      <c r="E28" s="1392"/>
      <c r="F28" s="1238"/>
      <c r="G28" s="1239"/>
    </row>
    <row r="29" spans="1:7" s="1161" customFormat="1" ht="199.5" customHeight="1">
      <c r="B29" s="515"/>
      <c r="C29" s="1240"/>
      <c r="D29" s="1240"/>
      <c r="E29" s="1241"/>
      <c r="F29" s="1239"/>
      <c r="G29" s="1241"/>
    </row>
  </sheetData>
  <mergeCells count="18">
    <mergeCell ref="A3:G3"/>
    <mergeCell ref="C5:G5"/>
    <mergeCell ref="C6:G6"/>
    <mergeCell ref="C7:G7"/>
    <mergeCell ref="C8:G8"/>
    <mergeCell ref="C9:G9"/>
    <mergeCell ref="C10:G10"/>
    <mergeCell ref="B12:C12"/>
    <mergeCell ref="B14:C14"/>
    <mergeCell ref="B13:C13"/>
    <mergeCell ref="D26:F26"/>
    <mergeCell ref="D27:F27"/>
    <mergeCell ref="C28:E28"/>
    <mergeCell ref="B18:C18"/>
    <mergeCell ref="B21:F21"/>
    <mergeCell ref="B22:F22"/>
    <mergeCell ref="B23:F23"/>
    <mergeCell ref="D25:F25"/>
  </mergeCells>
  <phoneticPr fontId="1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59"/>
  <sheetViews>
    <sheetView zoomScale="85" zoomScaleNormal="85" zoomScaleSheetLayoutView="78" workbookViewId="0">
      <pane ySplit="13" topLeftCell="A47" activePane="bottomLeft" state="frozen"/>
      <selection pane="bottomLeft" activeCell="B27" sqref="B27"/>
    </sheetView>
  </sheetViews>
  <sheetFormatPr defaultColWidth="8.7109375" defaultRowHeight="24"/>
  <cols>
    <col min="1" max="1" width="10.140625" style="39" customWidth="1"/>
    <col min="2" max="2" width="79.4257812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8.710937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SUM(AA2:AA59)</f>
        <v>0</v>
      </c>
      <c r="S3" s="7" t="s">
        <v>6</v>
      </c>
      <c r="AA3" s="1244">
        <f t="shared" ref="AA3:AB59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SUM(AA7:AA795)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2466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8" t="s">
        <v>1</v>
      </c>
      <c r="C12" s="1419" t="s">
        <v>13</v>
      </c>
      <c r="D12" s="1420" t="s">
        <v>12</v>
      </c>
      <c r="E12" s="1421" t="s">
        <v>14</v>
      </c>
      <c r="F12" s="1420"/>
      <c r="G12" s="1421" t="s">
        <v>15</v>
      </c>
      <c r="H12" s="1420"/>
      <c r="I12" s="1415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8"/>
      <c r="C13" s="1419"/>
      <c r="D13" s="1420"/>
      <c r="E13" s="1140" t="s">
        <v>35</v>
      </c>
      <c r="F13" s="1141" t="s">
        <v>16</v>
      </c>
      <c r="G13" s="1140" t="s">
        <v>35</v>
      </c>
      <c r="H13" s="1141" t="s">
        <v>16</v>
      </c>
      <c r="I13" s="1416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SUM(AB2:AB59)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>
      <c r="A14" s="1256">
        <v>1</v>
      </c>
      <c r="B14" s="1257" t="s">
        <v>79</v>
      </c>
      <c r="C14" s="1258"/>
      <c r="D14" s="1259"/>
      <c r="E14" s="1260"/>
      <c r="F14" s="1260"/>
      <c r="G14" s="1261"/>
      <c r="H14" s="1261"/>
      <c r="I14" s="1261"/>
      <c r="J14" s="126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A14" s="1244">
        <f>IF($B14=AA$1,$C14,0)</f>
        <v>0</v>
      </c>
      <c r="AB14" s="1244">
        <f>IF($B14=AB$1,$C14,0)</f>
        <v>0</v>
      </c>
    </row>
    <row r="15" spans="1:28">
      <c r="A15" s="1263">
        <v>1.1000000000000001</v>
      </c>
      <c r="B15" s="1264" t="s">
        <v>80</v>
      </c>
      <c r="C15" s="1265"/>
      <c r="D15" s="1266"/>
      <c r="E15" s="47"/>
      <c r="F15" s="49"/>
      <c r="G15" s="44"/>
      <c r="H15" s="50"/>
      <c r="I15" s="50"/>
      <c r="J15" s="126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A15" s="1244">
        <f t="shared" si="0"/>
        <v>0</v>
      </c>
      <c r="AB15" s="1244">
        <f t="shared" si="0"/>
        <v>0</v>
      </c>
    </row>
    <row r="16" spans="1:28">
      <c r="A16" s="478" t="s">
        <v>1194</v>
      </c>
      <c r="B16" s="1268" t="s">
        <v>106</v>
      </c>
      <c r="C16" s="476"/>
      <c r="D16" s="477"/>
      <c r="E16" s="480"/>
      <c r="F16" s="481"/>
      <c r="G16" s="482"/>
      <c r="H16" s="483"/>
      <c r="I16" s="483"/>
      <c r="J16" s="126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AA16" s="1244">
        <f t="shared" si="0"/>
        <v>0</v>
      </c>
      <c r="AB16" s="1244">
        <f t="shared" si="0"/>
        <v>0</v>
      </c>
    </row>
    <row r="17" spans="1:28">
      <c r="A17" s="1270" t="s">
        <v>2441</v>
      </c>
      <c r="B17" s="48" t="s">
        <v>2471</v>
      </c>
      <c r="C17" s="46">
        <f>ROUNDUP(458*0.15+33*3,0)</f>
        <v>168</v>
      </c>
      <c r="D17" s="36" t="s">
        <v>82</v>
      </c>
      <c r="E17" s="47">
        <v>0</v>
      </c>
      <c r="F17" s="49">
        <f t="shared" ref="F17:F28" si="2">E17*C17</f>
        <v>0</v>
      </c>
      <c r="G17" s="44">
        <v>600</v>
      </c>
      <c r="H17" s="50">
        <f t="shared" ref="H17:H28" si="3">G17*C17</f>
        <v>100800</v>
      </c>
      <c r="I17" s="50">
        <f t="shared" ref="I17:I28" si="4">H17+F17</f>
        <v>100800</v>
      </c>
      <c r="J17" s="127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AA17" s="1244">
        <f t="shared" si="0"/>
        <v>0</v>
      </c>
      <c r="AB17" s="1244">
        <f t="shared" si="0"/>
        <v>0</v>
      </c>
    </row>
    <row r="18" spans="1:28">
      <c r="A18" s="1270" t="s">
        <v>2442</v>
      </c>
      <c r="B18" s="45" t="s">
        <v>107</v>
      </c>
      <c r="C18" s="46">
        <v>649</v>
      </c>
      <c r="D18" s="36" t="s">
        <v>6</v>
      </c>
      <c r="E18" s="47">
        <v>0</v>
      </c>
      <c r="F18" s="49">
        <f t="shared" si="2"/>
        <v>0</v>
      </c>
      <c r="G18" s="44">
        <v>80</v>
      </c>
      <c r="H18" s="50">
        <f t="shared" si="3"/>
        <v>51920</v>
      </c>
      <c r="I18" s="50">
        <f t="shared" si="4"/>
        <v>51920</v>
      </c>
      <c r="J18" s="127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AA18" s="1244">
        <f t="shared" si="0"/>
        <v>0</v>
      </c>
      <c r="AB18" s="1244">
        <f t="shared" si="0"/>
        <v>0</v>
      </c>
    </row>
    <row r="19" spans="1:28">
      <c r="A19" s="1270" t="s">
        <v>2443</v>
      </c>
      <c r="B19" s="45" t="s">
        <v>108</v>
      </c>
      <c r="C19" s="46">
        <f>ROUNDUP(176*3,0)</f>
        <v>528</v>
      </c>
      <c r="D19" s="36" t="s">
        <v>6</v>
      </c>
      <c r="E19" s="47">
        <v>0</v>
      </c>
      <c r="F19" s="49">
        <f t="shared" si="2"/>
        <v>0</v>
      </c>
      <c r="G19" s="44">
        <v>70</v>
      </c>
      <c r="H19" s="50">
        <f t="shared" si="3"/>
        <v>36960</v>
      </c>
      <c r="I19" s="50">
        <f t="shared" si="4"/>
        <v>36960</v>
      </c>
      <c r="J19" s="127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AA19" s="1244">
        <f t="shared" si="0"/>
        <v>0</v>
      </c>
      <c r="AB19" s="1244">
        <f t="shared" si="0"/>
        <v>0</v>
      </c>
    </row>
    <row r="20" spans="1:28">
      <c r="A20" s="1270" t="s">
        <v>2444</v>
      </c>
      <c r="B20" s="45" t="s">
        <v>81</v>
      </c>
      <c r="C20" s="46">
        <v>458</v>
      </c>
      <c r="D20" s="36" t="s">
        <v>6</v>
      </c>
      <c r="E20" s="47">
        <v>0</v>
      </c>
      <c r="F20" s="49">
        <f t="shared" si="2"/>
        <v>0</v>
      </c>
      <c r="G20" s="44">
        <v>50</v>
      </c>
      <c r="H20" s="50">
        <f t="shared" si="3"/>
        <v>22900</v>
      </c>
      <c r="I20" s="50">
        <f t="shared" si="4"/>
        <v>22900</v>
      </c>
      <c r="J20" s="12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AA20" s="1244">
        <f t="shared" si="0"/>
        <v>0</v>
      </c>
      <c r="AB20" s="1244">
        <f t="shared" si="0"/>
        <v>0</v>
      </c>
    </row>
    <row r="21" spans="1:28">
      <c r="A21" s="1270" t="s">
        <v>2445</v>
      </c>
      <c r="B21" s="45" t="s">
        <v>1407</v>
      </c>
      <c r="C21" s="46"/>
      <c r="D21" s="36"/>
      <c r="E21" s="47"/>
      <c r="F21" s="49"/>
      <c r="G21" s="44"/>
      <c r="H21" s="50"/>
      <c r="I21" s="50"/>
      <c r="J21" s="3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A21" s="1244">
        <f t="shared" si="0"/>
        <v>0</v>
      </c>
      <c r="AB21" s="1244">
        <f t="shared" si="0"/>
        <v>0</v>
      </c>
    </row>
    <row r="22" spans="1:28">
      <c r="A22" s="37"/>
      <c r="B22" s="48" t="s">
        <v>376</v>
      </c>
      <c r="C22" s="46">
        <v>16</v>
      </c>
      <c r="D22" s="36" t="s">
        <v>37</v>
      </c>
      <c r="E22" s="47">
        <v>0</v>
      </c>
      <c r="F22" s="49">
        <f t="shared" ref="F22" si="5">E22*C22</f>
        <v>0</v>
      </c>
      <c r="G22" s="44">
        <v>120</v>
      </c>
      <c r="H22" s="50">
        <f t="shared" ref="H22" si="6">G22*C22</f>
        <v>1920</v>
      </c>
      <c r="I22" s="50">
        <f t="shared" ref="I22" si="7">H22+F22</f>
        <v>1920</v>
      </c>
      <c r="J22" s="127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A22" s="1244">
        <f t="shared" si="0"/>
        <v>0</v>
      </c>
      <c r="AB22" s="1244">
        <f t="shared" si="0"/>
        <v>0</v>
      </c>
    </row>
    <row r="23" spans="1:28">
      <c r="A23" s="37"/>
      <c r="B23" s="48" t="s">
        <v>375</v>
      </c>
      <c r="C23" s="46">
        <v>4</v>
      </c>
      <c r="D23" s="36" t="s">
        <v>37</v>
      </c>
      <c r="E23" s="47">
        <v>0</v>
      </c>
      <c r="F23" s="49">
        <f t="shared" si="2"/>
        <v>0</v>
      </c>
      <c r="G23" s="44">
        <v>250</v>
      </c>
      <c r="H23" s="50">
        <f t="shared" si="3"/>
        <v>1000</v>
      </c>
      <c r="I23" s="50">
        <f t="shared" si="4"/>
        <v>1000</v>
      </c>
      <c r="J23" s="1271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AA23" s="1244">
        <f t="shared" si="0"/>
        <v>0</v>
      </c>
      <c r="AB23" s="1244">
        <f t="shared" si="0"/>
        <v>0</v>
      </c>
    </row>
    <row r="24" spans="1:28">
      <c r="A24" s="37"/>
      <c r="B24" s="48" t="s">
        <v>109</v>
      </c>
      <c r="C24" s="46">
        <v>15</v>
      </c>
      <c r="D24" s="36" t="s">
        <v>37</v>
      </c>
      <c r="E24" s="47">
        <v>0</v>
      </c>
      <c r="F24" s="49">
        <f t="shared" si="2"/>
        <v>0</v>
      </c>
      <c r="G24" s="44">
        <v>250</v>
      </c>
      <c r="H24" s="50">
        <f t="shared" si="3"/>
        <v>3750</v>
      </c>
      <c r="I24" s="50">
        <f t="shared" si="4"/>
        <v>3750</v>
      </c>
      <c r="J24" s="12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AA24" s="1244">
        <f t="shared" si="0"/>
        <v>0</v>
      </c>
      <c r="AB24" s="1244">
        <f t="shared" si="0"/>
        <v>0</v>
      </c>
    </row>
    <row r="25" spans="1:28">
      <c r="A25" s="37"/>
      <c r="B25" s="48" t="s">
        <v>110</v>
      </c>
      <c r="C25" s="46">
        <v>6</v>
      </c>
      <c r="D25" s="36" t="s">
        <v>37</v>
      </c>
      <c r="E25" s="47">
        <v>0</v>
      </c>
      <c r="F25" s="49">
        <f t="shared" si="2"/>
        <v>0</v>
      </c>
      <c r="G25" s="44">
        <v>200</v>
      </c>
      <c r="H25" s="50">
        <f t="shared" si="3"/>
        <v>1200</v>
      </c>
      <c r="I25" s="50">
        <f t="shared" si="4"/>
        <v>1200</v>
      </c>
      <c r="J25" s="127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A25" s="1244">
        <f t="shared" si="0"/>
        <v>0</v>
      </c>
      <c r="AB25" s="1244">
        <f t="shared" si="0"/>
        <v>0</v>
      </c>
    </row>
    <row r="26" spans="1:28">
      <c r="A26" s="37" t="s">
        <v>2446</v>
      </c>
      <c r="B26" s="45" t="s">
        <v>373</v>
      </c>
      <c r="C26" s="46">
        <f>ROUNDUP((2.6+0.3+2.8+2.05),0)</f>
        <v>8</v>
      </c>
      <c r="D26" s="36" t="s">
        <v>8</v>
      </c>
      <c r="E26" s="47">
        <v>0</v>
      </c>
      <c r="F26" s="49">
        <f t="shared" si="2"/>
        <v>0</v>
      </c>
      <c r="G26" s="44">
        <v>80</v>
      </c>
      <c r="H26" s="50">
        <f t="shared" si="3"/>
        <v>640</v>
      </c>
      <c r="I26" s="50">
        <f t="shared" si="4"/>
        <v>640</v>
      </c>
      <c r="J26" s="127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AA26" s="1244">
        <f t="shared" si="0"/>
        <v>0</v>
      </c>
      <c r="AB26" s="1244">
        <f t="shared" si="0"/>
        <v>0</v>
      </c>
    </row>
    <row r="27" spans="1:28">
      <c r="A27" s="37" t="s">
        <v>2447</v>
      </c>
      <c r="B27" s="45" t="s">
        <v>374</v>
      </c>
      <c r="C27" s="46">
        <f>ROUNDUP((2.7+0.99*2+2.09*2)*2,0)</f>
        <v>18</v>
      </c>
      <c r="D27" s="36" t="s">
        <v>8</v>
      </c>
      <c r="E27" s="47">
        <v>0</v>
      </c>
      <c r="F27" s="49">
        <f t="shared" si="2"/>
        <v>0</v>
      </c>
      <c r="G27" s="44">
        <v>30</v>
      </c>
      <c r="H27" s="50">
        <f t="shared" si="3"/>
        <v>540</v>
      </c>
      <c r="I27" s="50">
        <f t="shared" si="4"/>
        <v>540</v>
      </c>
      <c r="J27" s="12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AA27" s="1244">
        <f t="shared" si="0"/>
        <v>0</v>
      </c>
      <c r="AB27" s="1244">
        <f t="shared" si="0"/>
        <v>0</v>
      </c>
    </row>
    <row r="28" spans="1:28">
      <c r="A28" s="37" t="s">
        <v>2448</v>
      </c>
      <c r="B28" s="45" t="s">
        <v>2476</v>
      </c>
      <c r="C28" s="46">
        <v>1</v>
      </c>
      <c r="D28" s="36" t="s">
        <v>40</v>
      </c>
      <c r="E28" s="47">
        <v>0</v>
      </c>
      <c r="F28" s="49">
        <f t="shared" si="2"/>
        <v>0</v>
      </c>
      <c r="G28" s="44">
        <v>5000</v>
      </c>
      <c r="H28" s="50">
        <f t="shared" si="3"/>
        <v>5000</v>
      </c>
      <c r="I28" s="50">
        <f t="shared" si="4"/>
        <v>5000</v>
      </c>
      <c r="J28" s="127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AA28" s="1244">
        <f t="shared" si="0"/>
        <v>0</v>
      </c>
      <c r="AB28" s="1244">
        <f t="shared" si="0"/>
        <v>0</v>
      </c>
    </row>
    <row r="29" spans="1:28">
      <c r="A29" s="37" t="s">
        <v>2449</v>
      </c>
      <c r="B29" s="218" t="s">
        <v>1219</v>
      </c>
      <c r="C29" s="219">
        <f>136.5*2</f>
        <v>273</v>
      </c>
      <c r="D29" s="36" t="s">
        <v>6</v>
      </c>
      <c r="E29" s="47">
        <v>0</v>
      </c>
      <c r="F29" s="49">
        <f>E29*C29</f>
        <v>0</v>
      </c>
      <c r="G29" s="44">
        <v>70</v>
      </c>
      <c r="H29" s="50">
        <f>G29*C29</f>
        <v>19110</v>
      </c>
      <c r="I29" s="50">
        <f>H29+F29</f>
        <v>19110</v>
      </c>
      <c r="J29" s="12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AA29" s="1244"/>
      <c r="AB29" s="1244"/>
    </row>
    <row r="30" spans="1:28">
      <c r="A30" s="37" t="s">
        <v>2450</v>
      </c>
      <c r="B30" s="45" t="s">
        <v>1220</v>
      </c>
      <c r="C30" s="46">
        <f>ROUNDUP((0.15*0.15)*25,0)</f>
        <v>1</v>
      </c>
      <c r="D30" s="36" t="s">
        <v>82</v>
      </c>
      <c r="E30" s="47">
        <v>0</v>
      </c>
      <c r="F30" s="49">
        <f t="shared" ref="F30" si="8">E30*C30</f>
        <v>0</v>
      </c>
      <c r="G30" s="44">
        <v>600</v>
      </c>
      <c r="H30" s="50">
        <f t="shared" ref="H30" si="9">G30*C30</f>
        <v>600</v>
      </c>
      <c r="I30" s="50">
        <f t="shared" ref="I30" si="10">H30+F30</f>
        <v>600</v>
      </c>
      <c r="J30" s="127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AA30" s="1244"/>
      <c r="AB30" s="1244"/>
    </row>
    <row r="31" spans="1:28">
      <c r="A31" s="467"/>
      <c r="B31" s="475" t="s">
        <v>1266</v>
      </c>
      <c r="C31" s="468"/>
      <c r="D31" s="469"/>
      <c r="E31" s="470"/>
      <c r="F31" s="471"/>
      <c r="G31" s="472"/>
      <c r="H31" s="473"/>
      <c r="I31" s="474">
        <f>SUM(I17:I30)</f>
        <v>246340</v>
      </c>
      <c r="J31" s="46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AA31" s="1244"/>
      <c r="AB31" s="1244"/>
    </row>
    <row r="32" spans="1:28">
      <c r="A32" s="478" t="s">
        <v>1195</v>
      </c>
      <c r="B32" s="1268" t="s">
        <v>111</v>
      </c>
      <c r="C32" s="476"/>
      <c r="D32" s="477"/>
      <c r="E32" s="480"/>
      <c r="F32" s="481"/>
      <c r="G32" s="482"/>
      <c r="H32" s="483"/>
      <c r="I32" s="483"/>
      <c r="J32" s="4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AA32" s="1244">
        <f t="shared" si="0"/>
        <v>0</v>
      </c>
      <c r="AB32" s="1244">
        <f t="shared" si="0"/>
        <v>0</v>
      </c>
    </row>
    <row r="33" spans="1:28">
      <c r="A33" s="37" t="s">
        <v>2451</v>
      </c>
      <c r="B33" s="45" t="s">
        <v>2471</v>
      </c>
      <c r="C33" s="46">
        <f>ROUNDUP(458*0.15+38*3,0)</f>
        <v>183</v>
      </c>
      <c r="D33" s="36" t="s">
        <v>82</v>
      </c>
      <c r="E33" s="47">
        <v>0</v>
      </c>
      <c r="F33" s="49">
        <f t="shared" ref="F33" si="11">E33*C33</f>
        <v>0</v>
      </c>
      <c r="G33" s="44">
        <v>600</v>
      </c>
      <c r="H33" s="50">
        <f t="shared" ref="H33" si="12">G33*C33</f>
        <v>109800</v>
      </c>
      <c r="I33" s="50">
        <f t="shared" ref="I33" si="13">H33+F33</f>
        <v>109800</v>
      </c>
      <c r="J33" s="127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AA33" s="1244">
        <f t="shared" si="0"/>
        <v>0</v>
      </c>
      <c r="AB33" s="1244">
        <f t="shared" si="0"/>
        <v>0</v>
      </c>
    </row>
    <row r="34" spans="1:28">
      <c r="A34" s="37" t="s">
        <v>2452</v>
      </c>
      <c r="B34" s="45" t="s">
        <v>107</v>
      </c>
      <c r="C34" s="46">
        <v>677</v>
      </c>
      <c r="D34" s="36" t="s">
        <v>6</v>
      </c>
      <c r="E34" s="47">
        <v>0</v>
      </c>
      <c r="F34" s="49">
        <f>E34*C34</f>
        <v>0</v>
      </c>
      <c r="G34" s="44">
        <v>80</v>
      </c>
      <c r="H34" s="50">
        <f>G34*C34</f>
        <v>54160</v>
      </c>
      <c r="I34" s="50">
        <f>H34+F34</f>
        <v>54160</v>
      </c>
      <c r="J34" s="12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AA34" s="1244">
        <f t="shared" si="0"/>
        <v>0</v>
      </c>
      <c r="AB34" s="1244">
        <f t="shared" si="0"/>
        <v>0</v>
      </c>
    </row>
    <row r="35" spans="1:28">
      <c r="A35" s="37" t="s">
        <v>2453</v>
      </c>
      <c r="B35" s="45" t="s">
        <v>108</v>
      </c>
      <c r="C35" s="46">
        <f>ROUND((165*3),0)</f>
        <v>495</v>
      </c>
      <c r="D35" s="36" t="s">
        <v>6</v>
      </c>
      <c r="E35" s="47">
        <v>0</v>
      </c>
      <c r="F35" s="49">
        <f>E35*C35</f>
        <v>0</v>
      </c>
      <c r="G35" s="44">
        <v>70</v>
      </c>
      <c r="H35" s="50">
        <f>G35*C35</f>
        <v>34650</v>
      </c>
      <c r="I35" s="50">
        <f>H35+F35</f>
        <v>34650</v>
      </c>
      <c r="J35" s="127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A35" s="1244">
        <f t="shared" si="0"/>
        <v>0</v>
      </c>
      <c r="AB35" s="1244">
        <f t="shared" si="0"/>
        <v>0</v>
      </c>
    </row>
    <row r="36" spans="1:28">
      <c r="A36" s="37" t="s">
        <v>2454</v>
      </c>
      <c r="B36" s="45" t="s">
        <v>81</v>
      </c>
      <c r="C36" s="46">
        <v>458</v>
      </c>
      <c r="D36" s="36" t="s">
        <v>6</v>
      </c>
      <c r="E36" s="47">
        <v>0</v>
      </c>
      <c r="F36" s="49">
        <f>E36*C36</f>
        <v>0</v>
      </c>
      <c r="G36" s="44">
        <v>50</v>
      </c>
      <c r="H36" s="50">
        <f>G36*C36</f>
        <v>22900</v>
      </c>
      <c r="I36" s="50">
        <f>H36+F36</f>
        <v>22900</v>
      </c>
      <c r="J36" s="127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AA36" s="1244">
        <f t="shared" si="0"/>
        <v>0</v>
      </c>
      <c r="AB36" s="1244">
        <f t="shared" si="0"/>
        <v>0</v>
      </c>
    </row>
    <row r="37" spans="1:28">
      <c r="A37" s="37" t="s">
        <v>2455</v>
      </c>
      <c r="B37" s="45" t="s">
        <v>1407</v>
      </c>
      <c r="C37" s="46"/>
      <c r="D37" s="36"/>
      <c r="E37" s="47"/>
      <c r="F37" s="49"/>
      <c r="G37" s="44"/>
      <c r="H37" s="50"/>
      <c r="I37" s="50"/>
      <c r="J37" s="3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AA37" s="1244">
        <f t="shared" si="0"/>
        <v>0</v>
      </c>
      <c r="AB37" s="1244">
        <f t="shared" si="0"/>
        <v>0</v>
      </c>
    </row>
    <row r="38" spans="1:28">
      <c r="A38" s="37"/>
      <c r="B38" s="48" t="s">
        <v>376</v>
      </c>
      <c r="C38" s="46">
        <v>10</v>
      </c>
      <c r="D38" s="36" t="s">
        <v>37</v>
      </c>
      <c r="E38" s="47">
        <v>0</v>
      </c>
      <c r="F38" s="49">
        <f t="shared" ref="F38:F42" si="14">E38*C38</f>
        <v>0</v>
      </c>
      <c r="G38" s="44">
        <v>120</v>
      </c>
      <c r="H38" s="50">
        <f t="shared" ref="H38:H42" si="15">G38*C38</f>
        <v>1200</v>
      </c>
      <c r="I38" s="50">
        <f t="shared" ref="I38:I42" si="16">H38+F38</f>
        <v>1200</v>
      </c>
      <c r="J38" s="127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AA38" s="1244">
        <f t="shared" si="0"/>
        <v>0</v>
      </c>
      <c r="AB38" s="1244">
        <f t="shared" si="0"/>
        <v>0</v>
      </c>
    </row>
    <row r="39" spans="1:28">
      <c r="A39" s="37"/>
      <c r="B39" s="48" t="s">
        <v>375</v>
      </c>
      <c r="C39" s="46">
        <v>3</v>
      </c>
      <c r="D39" s="36" t="s">
        <v>37</v>
      </c>
      <c r="E39" s="47">
        <v>0</v>
      </c>
      <c r="F39" s="49">
        <f t="shared" si="14"/>
        <v>0</v>
      </c>
      <c r="G39" s="44">
        <v>250</v>
      </c>
      <c r="H39" s="50">
        <f t="shared" si="15"/>
        <v>750</v>
      </c>
      <c r="I39" s="50">
        <f t="shared" si="16"/>
        <v>750</v>
      </c>
      <c r="J39" s="1271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AA39" s="1244">
        <f t="shared" si="0"/>
        <v>0</v>
      </c>
      <c r="AB39" s="1244">
        <f t="shared" si="0"/>
        <v>0</v>
      </c>
    </row>
    <row r="40" spans="1:28">
      <c r="A40" s="37"/>
      <c r="B40" s="48" t="s">
        <v>109</v>
      </c>
      <c r="C40" s="46">
        <v>14</v>
      </c>
      <c r="D40" s="36" t="s">
        <v>37</v>
      </c>
      <c r="E40" s="47">
        <v>0</v>
      </c>
      <c r="F40" s="49">
        <f t="shared" si="14"/>
        <v>0</v>
      </c>
      <c r="G40" s="44">
        <v>250</v>
      </c>
      <c r="H40" s="50">
        <f t="shared" si="15"/>
        <v>3500</v>
      </c>
      <c r="I40" s="50">
        <f t="shared" si="16"/>
        <v>3500</v>
      </c>
      <c r="J40" s="127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AA40" s="1244">
        <f t="shared" si="0"/>
        <v>0</v>
      </c>
      <c r="AB40" s="1244">
        <f t="shared" si="0"/>
        <v>0</v>
      </c>
    </row>
    <row r="41" spans="1:28">
      <c r="A41" s="37"/>
      <c r="B41" s="48" t="s">
        <v>110</v>
      </c>
      <c r="C41" s="46">
        <v>4</v>
      </c>
      <c r="D41" s="36" t="s">
        <v>37</v>
      </c>
      <c r="E41" s="47">
        <v>0</v>
      </c>
      <c r="F41" s="49">
        <f t="shared" si="14"/>
        <v>0</v>
      </c>
      <c r="G41" s="44">
        <v>200</v>
      </c>
      <c r="H41" s="50">
        <f t="shared" si="15"/>
        <v>800</v>
      </c>
      <c r="I41" s="50">
        <f t="shared" si="16"/>
        <v>800</v>
      </c>
      <c r="J41" s="127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AA41" s="1244">
        <f t="shared" si="0"/>
        <v>0</v>
      </c>
      <c r="AB41" s="1244">
        <f t="shared" si="0"/>
        <v>0</v>
      </c>
    </row>
    <row r="42" spans="1:28">
      <c r="A42" s="37" t="s">
        <v>2456</v>
      </c>
      <c r="B42" s="45" t="s">
        <v>2476</v>
      </c>
      <c r="C42" s="46">
        <v>1</v>
      </c>
      <c r="D42" s="36" t="s">
        <v>40</v>
      </c>
      <c r="E42" s="47">
        <v>0</v>
      </c>
      <c r="F42" s="49">
        <f t="shared" si="14"/>
        <v>0</v>
      </c>
      <c r="G42" s="44">
        <v>5000</v>
      </c>
      <c r="H42" s="50">
        <f t="shared" si="15"/>
        <v>5000</v>
      </c>
      <c r="I42" s="50">
        <f t="shared" si="16"/>
        <v>5000</v>
      </c>
      <c r="J42" s="127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AA42" s="1244">
        <f t="shared" si="0"/>
        <v>0</v>
      </c>
      <c r="AB42" s="1244">
        <f t="shared" si="0"/>
        <v>0</v>
      </c>
    </row>
    <row r="43" spans="1:28">
      <c r="A43" s="467"/>
      <c r="B43" s="475" t="s">
        <v>1267</v>
      </c>
      <c r="C43" s="468"/>
      <c r="D43" s="469"/>
      <c r="E43" s="470"/>
      <c r="F43" s="471"/>
      <c r="G43" s="472"/>
      <c r="H43" s="473"/>
      <c r="I43" s="474">
        <f>SUM(I33:I42)</f>
        <v>232760</v>
      </c>
      <c r="J43" s="46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AA43" s="1244"/>
      <c r="AB43" s="1244"/>
    </row>
    <row r="44" spans="1:28">
      <c r="A44" s="478" t="s">
        <v>1196</v>
      </c>
      <c r="B44" s="1268" t="s">
        <v>112</v>
      </c>
      <c r="C44" s="476"/>
      <c r="D44" s="477"/>
      <c r="E44" s="480"/>
      <c r="F44" s="481"/>
      <c r="G44" s="482"/>
      <c r="H44" s="483"/>
      <c r="I44" s="483"/>
      <c r="J44" s="4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AA44" s="1244">
        <f t="shared" si="0"/>
        <v>0</v>
      </c>
      <c r="AB44" s="1244">
        <f t="shared" si="0"/>
        <v>0</v>
      </c>
    </row>
    <row r="45" spans="1:28">
      <c r="A45" s="37" t="s">
        <v>2457</v>
      </c>
      <c r="B45" s="45" t="s">
        <v>2471</v>
      </c>
      <c r="C45" s="46">
        <f>ROUNDUP(472*0.15+33*1,0)</f>
        <v>104</v>
      </c>
      <c r="D45" s="36" t="s">
        <v>82</v>
      </c>
      <c r="E45" s="47">
        <v>0</v>
      </c>
      <c r="F45" s="49">
        <f t="shared" ref="F45" si="17">E45*C45</f>
        <v>0</v>
      </c>
      <c r="G45" s="44">
        <v>600</v>
      </c>
      <c r="H45" s="50">
        <f t="shared" ref="H45" si="18">G45*C45</f>
        <v>62400</v>
      </c>
      <c r="I45" s="50">
        <f t="shared" ref="I45" si="19">H45+F45</f>
        <v>62400</v>
      </c>
      <c r="J45" s="127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AA45" s="1244">
        <f t="shared" si="0"/>
        <v>0</v>
      </c>
      <c r="AB45" s="1244">
        <f t="shared" si="0"/>
        <v>0</v>
      </c>
    </row>
    <row r="46" spans="1:28">
      <c r="A46" s="37" t="s">
        <v>2458</v>
      </c>
      <c r="B46" s="45" t="s">
        <v>107</v>
      </c>
      <c r="C46" s="46">
        <v>170</v>
      </c>
      <c r="D46" s="36" t="s">
        <v>6</v>
      </c>
      <c r="E46" s="47">
        <v>0</v>
      </c>
      <c r="F46" s="49">
        <f>E46*C46</f>
        <v>0</v>
      </c>
      <c r="G46" s="44">
        <v>80</v>
      </c>
      <c r="H46" s="50">
        <f>G46*C46</f>
        <v>13600</v>
      </c>
      <c r="I46" s="50">
        <f>H46+F46</f>
        <v>13600</v>
      </c>
      <c r="J46" s="127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AA46" s="1244">
        <f t="shared" si="0"/>
        <v>0</v>
      </c>
      <c r="AB46" s="1244">
        <f t="shared" si="0"/>
        <v>0</v>
      </c>
    </row>
    <row r="47" spans="1:28">
      <c r="A47" s="37" t="s">
        <v>2459</v>
      </c>
      <c r="B47" s="45" t="s">
        <v>108</v>
      </c>
      <c r="C47" s="46">
        <f>ROUND((129)*3,0)</f>
        <v>387</v>
      </c>
      <c r="D47" s="36" t="s">
        <v>6</v>
      </c>
      <c r="E47" s="47">
        <v>0</v>
      </c>
      <c r="F47" s="49">
        <f>E47*C47</f>
        <v>0</v>
      </c>
      <c r="G47" s="44">
        <v>70</v>
      </c>
      <c r="H47" s="50">
        <f>G47*C47</f>
        <v>27090</v>
      </c>
      <c r="I47" s="50">
        <f>H47+F47</f>
        <v>27090</v>
      </c>
      <c r="J47" s="12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AA47" s="1244">
        <f t="shared" si="0"/>
        <v>0</v>
      </c>
      <c r="AB47" s="1244">
        <f t="shared" si="0"/>
        <v>0</v>
      </c>
    </row>
    <row r="48" spans="1:28">
      <c r="A48" s="37" t="s">
        <v>2460</v>
      </c>
      <c r="B48" s="45" t="s">
        <v>768</v>
      </c>
      <c r="C48" s="46">
        <f>ROUND((34.8)*3,0)</f>
        <v>104</v>
      </c>
      <c r="D48" s="36" t="s">
        <v>6</v>
      </c>
      <c r="E48" s="47">
        <v>0</v>
      </c>
      <c r="F48" s="49">
        <f>E48*C48</f>
        <v>0</v>
      </c>
      <c r="G48" s="44">
        <v>30</v>
      </c>
      <c r="H48" s="50">
        <f>G48*C48</f>
        <v>3120</v>
      </c>
      <c r="I48" s="50">
        <f>H48+F48</f>
        <v>3120</v>
      </c>
      <c r="J48" s="127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AA48" s="1244">
        <f t="shared" si="0"/>
        <v>0</v>
      </c>
      <c r="AB48" s="1244">
        <f t="shared" si="0"/>
        <v>0</v>
      </c>
    </row>
    <row r="49" spans="1:28">
      <c r="A49" s="37" t="s">
        <v>2461</v>
      </c>
      <c r="B49" s="45" t="s">
        <v>81</v>
      </c>
      <c r="C49" s="46">
        <v>170</v>
      </c>
      <c r="D49" s="36" t="s">
        <v>6</v>
      </c>
      <c r="E49" s="47">
        <v>0</v>
      </c>
      <c r="F49" s="49">
        <f>E49*C49</f>
        <v>0</v>
      </c>
      <c r="G49" s="44">
        <v>50</v>
      </c>
      <c r="H49" s="50">
        <f>G49*C49</f>
        <v>8500</v>
      </c>
      <c r="I49" s="50">
        <f>H49+F49</f>
        <v>8500</v>
      </c>
      <c r="J49" s="12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AA49" s="1244">
        <f t="shared" si="0"/>
        <v>0</v>
      </c>
      <c r="AB49" s="1244">
        <f t="shared" si="0"/>
        <v>0</v>
      </c>
    </row>
    <row r="50" spans="1:28">
      <c r="A50" s="37" t="s">
        <v>2462</v>
      </c>
      <c r="B50" s="45" t="s">
        <v>1407</v>
      </c>
      <c r="C50" s="46"/>
      <c r="D50" s="36"/>
      <c r="E50" s="47"/>
      <c r="F50" s="49"/>
      <c r="G50" s="44"/>
      <c r="H50" s="50"/>
      <c r="I50" s="50"/>
      <c r="J50" s="3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AA50" s="1244">
        <f t="shared" si="0"/>
        <v>0</v>
      </c>
      <c r="AB50" s="1244">
        <f t="shared" si="0"/>
        <v>0</v>
      </c>
    </row>
    <row r="51" spans="1:28">
      <c r="A51" s="37"/>
      <c r="B51" s="48" t="s">
        <v>375</v>
      </c>
      <c r="C51" s="46">
        <v>3</v>
      </c>
      <c r="D51" s="36" t="s">
        <v>37</v>
      </c>
      <c r="E51" s="47">
        <v>0</v>
      </c>
      <c r="F51" s="49">
        <f t="shared" ref="F51:F54" si="20">E51*C51</f>
        <v>0</v>
      </c>
      <c r="G51" s="44">
        <v>250</v>
      </c>
      <c r="H51" s="50">
        <f t="shared" ref="H51:H54" si="21">G51*C51</f>
        <v>750</v>
      </c>
      <c r="I51" s="50">
        <f t="shared" ref="I51:I54" si="22">H51+F51</f>
        <v>750</v>
      </c>
      <c r="J51" s="127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AA51" s="1244">
        <f t="shared" si="0"/>
        <v>0</v>
      </c>
      <c r="AB51" s="1244">
        <f t="shared" si="0"/>
        <v>0</v>
      </c>
    </row>
    <row r="52" spans="1:28">
      <c r="A52" s="37"/>
      <c r="B52" s="48" t="s">
        <v>109</v>
      </c>
      <c r="C52" s="46">
        <v>12</v>
      </c>
      <c r="D52" s="36" t="s">
        <v>37</v>
      </c>
      <c r="E52" s="47">
        <v>0</v>
      </c>
      <c r="F52" s="49">
        <f t="shared" si="20"/>
        <v>0</v>
      </c>
      <c r="G52" s="44">
        <v>250</v>
      </c>
      <c r="H52" s="50">
        <f t="shared" si="21"/>
        <v>3000</v>
      </c>
      <c r="I52" s="50">
        <f t="shared" si="22"/>
        <v>3000</v>
      </c>
      <c r="J52" s="127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AA52" s="1244">
        <f t="shared" si="0"/>
        <v>0</v>
      </c>
      <c r="AB52" s="1244">
        <f t="shared" si="0"/>
        <v>0</v>
      </c>
    </row>
    <row r="53" spans="1:28">
      <c r="A53" s="37" t="s">
        <v>2463</v>
      </c>
      <c r="B53" s="45" t="s">
        <v>83</v>
      </c>
      <c r="C53" s="46">
        <v>1</v>
      </c>
      <c r="D53" s="36" t="s">
        <v>40</v>
      </c>
      <c r="E53" s="47">
        <v>0</v>
      </c>
      <c r="F53" s="49">
        <f t="shared" si="20"/>
        <v>0</v>
      </c>
      <c r="G53" s="44">
        <v>500</v>
      </c>
      <c r="H53" s="50">
        <f t="shared" si="21"/>
        <v>500</v>
      </c>
      <c r="I53" s="50">
        <f t="shared" si="22"/>
        <v>500</v>
      </c>
      <c r="J53" s="1271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AA53" s="1244">
        <f t="shared" si="0"/>
        <v>0</v>
      </c>
      <c r="AB53" s="1244">
        <f t="shared" si="0"/>
        <v>0</v>
      </c>
    </row>
    <row r="54" spans="1:28">
      <c r="A54" s="37" t="s">
        <v>2464</v>
      </c>
      <c r="B54" s="45" t="s">
        <v>2476</v>
      </c>
      <c r="C54" s="46">
        <v>1</v>
      </c>
      <c r="D54" s="36" t="s">
        <v>40</v>
      </c>
      <c r="E54" s="47">
        <v>0</v>
      </c>
      <c r="F54" s="49">
        <f t="shared" si="20"/>
        <v>0</v>
      </c>
      <c r="G54" s="44">
        <v>5000</v>
      </c>
      <c r="H54" s="50">
        <f t="shared" si="21"/>
        <v>5000</v>
      </c>
      <c r="I54" s="50">
        <f t="shared" si="22"/>
        <v>5000</v>
      </c>
      <c r="J54" s="127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AA54" s="1244">
        <f t="shared" si="0"/>
        <v>0</v>
      </c>
      <c r="AB54" s="1244">
        <f t="shared" si="0"/>
        <v>0</v>
      </c>
    </row>
    <row r="55" spans="1:28">
      <c r="A55" s="467"/>
      <c r="B55" s="475" t="s">
        <v>1268</v>
      </c>
      <c r="C55" s="468"/>
      <c r="D55" s="469"/>
      <c r="E55" s="470"/>
      <c r="F55" s="471"/>
      <c r="G55" s="472"/>
      <c r="H55" s="473"/>
      <c r="I55" s="474">
        <f>SUM(I45:I54)</f>
        <v>123960</v>
      </c>
      <c r="J55" s="46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AA55" s="1244"/>
      <c r="AB55" s="1244"/>
    </row>
    <row r="56" spans="1:28">
      <c r="A56" s="478" t="s">
        <v>1197</v>
      </c>
      <c r="B56" s="1268" t="s">
        <v>327</v>
      </c>
      <c r="C56" s="476"/>
      <c r="D56" s="477"/>
      <c r="E56" s="480"/>
      <c r="F56" s="481"/>
      <c r="G56" s="482"/>
      <c r="H56" s="483"/>
      <c r="I56" s="483"/>
      <c r="J56" s="47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AA56" s="1244">
        <f t="shared" si="0"/>
        <v>0</v>
      </c>
      <c r="AB56" s="1244">
        <f t="shared" si="0"/>
        <v>0</v>
      </c>
    </row>
    <row r="57" spans="1:28">
      <c r="A57" s="37" t="s">
        <v>2465</v>
      </c>
      <c r="B57" s="218" t="s">
        <v>1406</v>
      </c>
      <c r="C57" s="219">
        <v>791</v>
      </c>
      <c r="D57" s="36" t="s">
        <v>6</v>
      </c>
      <c r="E57" s="47">
        <v>0</v>
      </c>
      <c r="F57" s="49">
        <f>E57*C57</f>
        <v>0</v>
      </c>
      <c r="G57" s="44">
        <v>25</v>
      </c>
      <c r="H57" s="50">
        <f>G57*C57</f>
        <v>19775</v>
      </c>
      <c r="I57" s="50">
        <f>H57+F57</f>
        <v>19775</v>
      </c>
      <c r="J57" s="127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AA57" s="1244">
        <f t="shared" si="0"/>
        <v>0</v>
      </c>
      <c r="AB57" s="1244">
        <f t="shared" si="0"/>
        <v>0</v>
      </c>
    </row>
    <row r="58" spans="1:28">
      <c r="A58" s="467"/>
      <c r="B58" s="485" t="s">
        <v>1269</v>
      </c>
      <c r="C58" s="484"/>
      <c r="D58" s="469"/>
      <c r="E58" s="470"/>
      <c r="F58" s="471"/>
      <c r="G58" s="472"/>
      <c r="H58" s="473"/>
      <c r="I58" s="474">
        <f>SUM(I57)</f>
        <v>19775</v>
      </c>
      <c r="J58" s="46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AA58" s="1244">
        <f t="shared" si="0"/>
        <v>0</v>
      </c>
      <c r="AB58" s="1244">
        <f t="shared" si="0"/>
        <v>0</v>
      </c>
    </row>
    <row r="59" spans="1:28">
      <c r="A59" s="486"/>
      <c r="B59" s="487" t="s">
        <v>1193</v>
      </c>
      <c r="C59" s="488"/>
      <c r="D59" s="489"/>
      <c r="E59" s="490"/>
      <c r="F59" s="491">
        <f>SUM(F15:F58)</f>
        <v>0</v>
      </c>
      <c r="G59" s="491"/>
      <c r="H59" s="491">
        <f>SUM(H15:H58)</f>
        <v>622835</v>
      </c>
      <c r="I59" s="491">
        <f>I31+I43+I55+I58</f>
        <v>622835</v>
      </c>
      <c r="J59" s="49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AA59" s="1244">
        <f t="shared" si="0"/>
        <v>0</v>
      </c>
      <c r="AB59" s="1244">
        <f t="shared" si="0"/>
        <v>0</v>
      </c>
    </row>
  </sheetData>
  <mergeCells count="24">
    <mergeCell ref="I12:I13"/>
    <mergeCell ref="J12:J13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printOptions horizontalCentered="1"/>
  <pageMargins left="0.31496062992125984" right="0.16" top="0.32" bottom="0.24" header="0.26" footer="0.19"/>
  <pageSetup paperSize="9" scale="6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745"/>
  <sheetViews>
    <sheetView topLeftCell="A597" zoomScale="85" zoomScaleNormal="85" zoomScaleSheetLayoutView="80" workbookViewId="0">
      <selection activeCell="D725" sqref="D725"/>
    </sheetView>
  </sheetViews>
  <sheetFormatPr defaultColWidth="8.7109375" defaultRowHeight="24"/>
  <cols>
    <col min="1" max="1" width="10.7109375" style="39" customWidth="1"/>
    <col min="2" max="2" width="80.710937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8.7109375" style="7" customWidth="1"/>
    <col min="11" max="12" width="19.42578125" style="1" customWidth="1"/>
    <col min="13" max="13" width="11" style="1" customWidth="1"/>
    <col min="14" max="14" width="19" style="1" customWidth="1"/>
    <col min="15" max="15" width="10.28515625" style="1" customWidth="1"/>
    <col min="16" max="16" width="22.42578125" style="1" customWidth="1"/>
    <col min="17" max="17" width="8.7109375" style="1" customWidth="1"/>
    <col min="18" max="18" width="13.28515625" style="1" customWidth="1"/>
    <col min="19" max="26" width="8.7109375" style="1" customWidth="1"/>
    <col min="27" max="27" width="21.7109375" style="1" customWidth="1"/>
    <col min="28" max="28" width="22.7109375" style="1" customWidth="1"/>
    <col min="29" max="31" width="8.7109375" style="1" customWidth="1"/>
    <col min="32" max="32" width="21.85546875" style="1" customWidth="1"/>
    <col min="33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SUM(AA2:AA745)</f>
        <v>3643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SUM(AA7:AA796)</f>
        <v>3643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1841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7" t="s">
        <v>1</v>
      </c>
      <c r="C12" s="1419" t="s">
        <v>13</v>
      </c>
      <c r="D12" s="1419" t="s">
        <v>12</v>
      </c>
      <c r="E12" s="1419" t="s">
        <v>14</v>
      </c>
      <c r="F12" s="1419"/>
      <c r="G12" s="1419" t="s">
        <v>15</v>
      </c>
      <c r="H12" s="1419"/>
      <c r="I12" s="1422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7"/>
      <c r="C13" s="1419"/>
      <c r="D13" s="1419"/>
      <c r="E13" s="1140" t="s">
        <v>35</v>
      </c>
      <c r="F13" s="1140" t="s">
        <v>16</v>
      </c>
      <c r="G13" s="1140" t="s">
        <v>35</v>
      </c>
      <c r="H13" s="1140" t="s">
        <v>16</v>
      </c>
      <c r="I13" s="1423"/>
      <c r="J13" s="1417"/>
      <c r="O13" s="8" t="s">
        <v>564</v>
      </c>
      <c r="P13" s="41">
        <v>0</v>
      </c>
      <c r="Q13" s="41">
        <f>IF(R13&lt;25,148,IF(25&lt;=R13&lt;=100,125,99))</f>
        <v>99</v>
      </c>
      <c r="R13" s="1245">
        <f>SUM(AB2:AB745)</f>
        <v>299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 s="336" customFormat="1">
      <c r="A14" s="1046">
        <v>2</v>
      </c>
      <c r="B14" s="1046" t="s">
        <v>76</v>
      </c>
      <c r="C14" s="1047"/>
      <c r="D14" s="1048"/>
      <c r="E14" s="1049"/>
      <c r="F14" s="1049"/>
      <c r="G14" s="1049"/>
      <c r="H14" s="1049"/>
      <c r="I14" s="1049"/>
      <c r="J14" s="1050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AA14" s="459">
        <f t="shared" ref="AA14:AB95" si="2">IF($B14=AA$1,$C14,0)</f>
        <v>0</v>
      </c>
      <c r="AB14" s="459">
        <f t="shared" si="2"/>
        <v>0</v>
      </c>
    </row>
    <row r="15" spans="1:28" s="344" customFormat="1" ht="24.75" customHeight="1">
      <c r="A15" s="1051">
        <v>2.1</v>
      </c>
      <c r="B15" s="1052" t="s">
        <v>1105</v>
      </c>
      <c r="C15" s="1053"/>
      <c r="D15" s="1054"/>
      <c r="E15" s="1055"/>
      <c r="F15" s="1056"/>
      <c r="G15" s="1055"/>
      <c r="H15" s="1056"/>
      <c r="I15" s="1056"/>
      <c r="J15" s="1057"/>
      <c r="O15" s="337"/>
      <c r="P15" s="337"/>
      <c r="Q15" s="337"/>
      <c r="R15" s="337"/>
      <c r="S15" s="337"/>
      <c r="AA15" s="459">
        <f t="shared" si="2"/>
        <v>0</v>
      </c>
      <c r="AB15" s="459">
        <f t="shared" si="2"/>
        <v>0</v>
      </c>
    </row>
    <row r="16" spans="1:28" s="344" customFormat="1" ht="25.35" customHeight="1">
      <c r="A16" s="765" t="s">
        <v>1843</v>
      </c>
      <c r="B16" s="1131" t="s">
        <v>1223</v>
      </c>
      <c r="C16" s="1086"/>
      <c r="D16" s="699"/>
      <c r="E16" s="1087"/>
      <c r="F16" s="1088"/>
      <c r="G16" s="1087"/>
      <c r="H16" s="1088"/>
      <c r="I16" s="1088"/>
      <c r="J16" s="1132"/>
      <c r="O16" s="337"/>
      <c r="P16" s="337"/>
      <c r="Q16" s="337"/>
      <c r="R16" s="337"/>
      <c r="S16" s="337"/>
      <c r="AA16" s="459"/>
      <c r="AB16" s="459"/>
    </row>
    <row r="17" spans="1:32" s="344" customFormat="1" ht="25.35" customHeight="1">
      <c r="A17" s="905" t="s">
        <v>1844</v>
      </c>
      <c r="B17" s="1060" t="s">
        <v>1365</v>
      </c>
      <c r="C17" s="1061">
        <f>109+2</f>
        <v>111</v>
      </c>
      <c r="D17" s="1062" t="s">
        <v>84</v>
      </c>
      <c r="E17" s="879">
        <v>8000</v>
      </c>
      <c r="F17" s="1063">
        <f t="shared" ref="F17:F18" si="3">E17*C17</f>
        <v>888000</v>
      </c>
      <c r="G17" s="1424" t="s">
        <v>1106</v>
      </c>
      <c r="H17" s="1424"/>
      <c r="I17" s="1064">
        <f t="shared" ref="I17:I18" si="4">H17+F17</f>
        <v>888000</v>
      </c>
      <c r="J17" s="1065"/>
      <c r="K17" s="460"/>
      <c r="O17" s="337"/>
      <c r="P17" s="337"/>
      <c r="Q17" s="337"/>
      <c r="R17" s="337"/>
      <c r="AA17" s="459">
        <f t="shared" si="2"/>
        <v>0</v>
      </c>
      <c r="AB17" s="459">
        <f t="shared" si="2"/>
        <v>0</v>
      </c>
    </row>
    <row r="18" spans="1:32" s="344" customFormat="1" ht="25.35" customHeight="1">
      <c r="A18" s="436" t="s">
        <v>1845</v>
      </c>
      <c r="B18" s="995" t="s">
        <v>560</v>
      </c>
      <c r="C18" s="1058">
        <f>C17</f>
        <v>111</v>
      </c>
      <c r="D18" s="1066" t="s">
        <v>84</v>
      </c>
      <c r="E18" s="867">
        <v>0</v>
      </c>
      <c r="F18" s="1067">
        <f t="shared" si="3"/>
        <v>0</v>
      </c>
      <c r="G18" s="945">
        <v>350</v>
      </c>
      <c r="H18" s="1067">
        <f t="shared" ref="H18" si="5">G18*C18</f>
        <v>38850</v>
      </c>
      <c r="I18" s="1068">
        <f t="shared" si="4"/>
        <v>38850</v>
      </c>
      <c r="J18" s="1069"/>
      <c r="O18" s="337"/>
      <c r="P18" s="337"/>
      <c r="Q18" s="337"/>
      <c r="R18" s="337"/>
      <c r="AA18" s="459">
        <f t="shared" si="2"/>
        <v>0</v>
      </c>
      <c r="AB18" s="459">
        <f t="shared" si="2"/>
        <v>0</v>
      </c>
    </row>
    <row r="19" spans="1:32" s="344" customFormat="1" ht="25.35" customHeight="1">
      <c r="A19" s="765" t="s">
        <v>1846</v>
      </c>
      <c r="B19" s="1133" t="s">
        <v>1224</v>
      </c>
      <c r="C19" s="1086"/>
      <c r="D19" s="1084"/>
      <c r="E19" s="764"/>
      <c r="F19" s="1113"/>
      <c r="G19" s="1112"/>
      <c r="H19" s="1113"/>
      <c r="I19" s="1134"/>
      <c r="J19" s="1135"/>
      <c r="O19" s="337"/>
      <c r="P19" s="337"/>
      <c r="Q19" s="337"/>
      <c r="R19" s="337"/>
      <c r="AA19" s="459"/>
      <c r="AB19" s="459"/>
    </row>
    <row r="20" spans="1:32" s="344" customFormat="1" ht="25.35" customHeight="1">
      <c r="A20" s="905" t="s">
        <v>1847</v>
      </c>
      <c r="B20" s="1060" t="s">
        <v>1365</v>
      </c>
      <c r="C20" s="1061">
        <v>12</v>
      </c>
      <c r="D20" s="1062" t="s">
        <v>84</v>
      </c>
      <c r="E20" s="879">
        <v>8000</v>
      </c>
      <c r="F20" s="1063">
        <f t="shared" ref="F20:F21" si="6">E20*C20</f>
        <v>96000</v>
      </c>
      <c r="G20" s="1424" t="s">
        <v>1106</v>
      </c>
      <c r="H20" s="1424"/>
      <c r="I20" s="1064">
        <f t="shared" ref="I20:I21" si="7">H20+F20</f>
        <v>96000</v>
      </c>
      <c r="J20" s="1065"/>
      <c r="O20" s="337"/>
      <c r="P20" s="337"/>
      <c r="Q20" s="337"/>
      <c r="R20" s="337"/>
      <c r="AA20" s="459"/>
      <c r="AB20" s="459"/>
    </row>
    <row r="21" spans="1:32" s="344" customFormat="1" ht="25.35" customHeight="1">
      <c r="A21" s="436" t="s">
        <v>1848</v>
      </c>
      <c r="B21" s="995" t="s">
        <v>560</v>
      </c>
      <c r="C21" s="1058">
        <f>C20</f>
        <v>12</v>
      </c>
      <c r="D21" s="1066" t="s">
        <v>84</v>
      </c>
      <c r="E21" s="867">
        <v>0</v>
      </c>
      <c r="F21" s="1067">
        <f t="shared" si="6"/>
        <v>0</v>
      </c>
      <c r="G21" s="945">
        <v>350</v>
      </c>
      <c r="H21" s="1067">
        <f t="shared" ref="H21" si="8">G21*C21</f>
        <v>4200</v>
      </c>
      <c r="I21" s="1068">
        <f t="shared" si="7"/>
        <v>4200</v>
      </c>
      <c r="J21" s="1069"/>
      <c r="O21" s="337"/>
      <c r="P21" s="337"/>
      <c r="Q21" s="337"/>
      <c r="R21" s="337"/>
      <c r="AA21" s="459"/>
      <c r="AB21" s="459"/>
    </row>
    <row r="22" spans="1:32" s="344" customFormat="1" ht="25.15" customHeight="1">
      <c r="A22" s="1070"/>
      <c r="B22" s="551" t="s">
        <v>1270</v>
      </c>
      <c r="C22" s="1071"/>
      <c r="D22" s="1072"/>
      <c r="E22" s="917"/>
      <c r="F22" s="1073"/>
      <c r="G22" s="1074"/>
      <c r="H22" s="1073"/>
      <c r="I22" s="1075">
        <f>SUM(I17:I21)</f>
        <v>1027050</v>
      </c>
      <c r="J22" s="1076"/>
      <c r="O22" s="337"/>
      <c r="P22" s="337"/>
      <c r="Q22" s="337"/>
      <c r="R22" s="337"/>
      <c r="AA22" s="459"/>
      <c r="AB22" s="459"/>
      <c r="AF22" s="1130">
        <f>I22+I26+'ปร.4 (รื้อถอน)'!I59</f>
        <v>1715285</v>
      </c>
    </row>
    <row r="23" spans="1:32" s="344" customFormat="1" ht="25.15" customHeight="1">
      <c r="A23" s="1051">
        <v>2.2000000000000002</v>
      </c>
      <c r="B23" s="1052" t="s">
        <v>561</v>
      </c>
      <c r="C23" s="1053"/>
      <c r="D23" s="1054"/>
      <c r="E23" s="683"/>
      <c r="F23" s="1077"/>
      <c r="G23" s="1078"/>
      <c r="H23" s="1077"/>
      <c r="I23" s="1056"/>
      <c r="J23" s="1057"/>
      <c r="O23" s="337"/>
      <c r="P23" s="337"/>
      <c r="Q23" s="337"/>
      <c r="AA23" s="459">
        <f t="shared" si="2"/>
        <v>0</v>
      </c>
      <c r="AB23" s="459">
        <f t="shared" si="2"/>
        <v>0</v>
      </c>
      <c r="AF23" s="1130">
        <f>AF22*1.2282</f>
        <v>2106713.037</v>
      </c>
    </row>
    <row r="24" spans="1:32" s="344" customFormat="1" ht="25.15" customHeight="1">
      <c r="A24" s="436" t="s">
        <v>1596</v>
      </c>
      <c r="B24" s="995" t="s">
        <v>562</v>
      </c>
      <c r="C24" s="1058">
        <v>1</v>
      </c>
      <c r="D24" s="1066" t="s">
        <v>84</v>
      </c>
      <c r="E24" s="1079">
        <v>28500</v>
      </c>
      <c r="F24" s="947">
        <f t="shared" ref="F24:F25" si="9">E24*C24</f>
        <v>28500</v>
      </c>
      <c r="G24" s="1080">
        <v>0</v>
      </c>
      <c r="H24" s="1068">
        <f t="shared" ref="H24:H25" si="10">G24*C24</f>
        <v>0</v>
      </c>
      <c r="I24" s="1068">
        <f t="shared" ref="I24:I25" si="11">H24+F24</f>
        <v>28500</v>
      </c>
      <c r="J24" s="1069"/>
      <c r="K24" s="461"/>
      <c r="O24" s="337"/>
      <c r="P24" s="337"/>
      <c r="Q24" s="337"/>
      <c r="AA24" s="459">
        <f t="shared" si="2"/>
        <v>0</v>
      </c>
      <c r="AB24" s="459">
        <f t="shared" si="2"/>
        <v>0</v>
      </c>
    </row>
    <row r="25" spans="1:32" s="344" customFormat="1" ht="25.15" customHeight="1">
      <c r="A25" s="436" t="s">
        <v>1842</v>
      </c>
      <c r="B25" s="995" t="s">
        <v>1247</v>
      </c>
      <c r="C25" s="1058">
        <f>C17+C20</f>
        <v>123</v>
      </c>
      <c r="D25" s="1066" t="s">
        <v>84</v>
      </c>
      <c r="E25" s="1079">
        <v>300</v>
      </c>
      <c r="F25" s="947">
        <f t="shared" si="9"/>
        <v>36900</v>
      </c>
      <c r="G25" s="1080">
        <v>0</v>
      </c>
      <c r="H25" s="1068">
        <f t="shared" si="10"/>
        <v>0</v>
      </c>
      <c r="I25" s="1068">
        <f t="shared" si="11"/>
        <v>36900</v>
      </c>
      <c r="J25" s="1069"/>
      <c r="K25" s="461"/>
      <c r="O25" s="337"/>
      <c r="P25" s="337"/>
      <c r="Q25" s="337"/>
      <c r="AA25" s="459"/>
      <c r="AB25" s="459"/>
    </row>
    <row r="26" spans="1:32" s="344" customFormat="1" ht="25.15" customHeight="1">
      <c r="A26" s="1070"/>
      <c r="B26" s="551" t="s">
        <v>1271</v>
      </c>
      <c r="C26" s="1071"/>
      <c r="D26" s="1072"/>
      <c r="E26" s="1002"/>
      <c r="F26" s="1081"/>
      <c r="G26" s="1082"/>
      <c r="H26" s="1083"/>
      <c r="I26" s="1075">
        <f>SUM(I24:I25)</f>
        <v>65400</v>
      </c>
      <c r="J26" s="1076"/>
      <c r="K26" s="461"/>
      <c r="O26" s="337"/>
      <c r="P26" s="337"/>
      <c r="Q26" s="337"/>
      <c r="AA26" s="459"/>
      <c r="AB26" s="459"/>
    </row>
    <row r="27" spans="1:32" s="344" customFormat="1" ht="25.15" customHeight="1">
      <c r="A27" s="1051">
        <v>2.2999999999999998</v>
      </c>
      <c r="B27" s="1052" t="s">
        <v>563</v>
      </c>
      <c r="C27" s="1053"/>
      <c r="D27" s="1054"/>
      <c r="E27" s="1055"/>
      <c r="F27" s="1056"/>
      <c r="G27" s="1055"/>
      <c r="H27" s="1056"/>
      <c r="I27" s="1056"/>
      <c r="J27" s="1057"/>
      <c r="AA27" s="459">
        <f t="shared" si="2"/>
        <v>0</v>
      </c>
      <c r="AB27" s="459">
        <f t="shared" si="2"/>
        <v>0</v>
      </c>
    </row>
    <row r="28" spans="1:32" s="344" customFormat="1" ht="25.15" customHeight="1">
      <c r="A28" s="1084" t="s">
        <v>1112</v>
      </c>
      <c r="B28" s="1085" t="s">
        <v>140</v>
      </c>
      <c r="C28" s="1086"/>
      <c r="D28" s="1084"/>
      <c r="E28" s="1087"/>
      <c r="F28" s="1088"/>
      <c r="G28" s="1087"/>
      <c r="H28" s="1088"/>
      <c r="I28" s="1088"/>
      <c r="J28" s="1084"/>
      <c r="AA28" s="459">
        <f t="shared" si="2"/>
        <v>0</v>
      </c>
      <c r="AB28" s="459">
        <f t="shared" si="2"/>
        <v>0</v>
      </c>
    </row>
    <row r="29" spans="1:32" s="344" customFormat="1" ht="25.15" customHeight="1">
      <c r="A29" s="1066" t="s">
        <v>1849</v>
      </c>
      <c r="B29" s="995" t="s">
        <v>564</v>
      </c>
      <c r="C29" s="1058">
        <v>63</v>
      </c>
      <c r="D29" s="1066" t="s">
        <v>545</v>
      </c>
      <c r="E29" s="946">
        <f>VLOOKUP(B29,$O$2:$Q$13,2,0)</f>
        <v>0</v>
      </c>
      <c r="F29" s="946">
        <f t="shared" ref="F29:F39" si="12">E29*C29</f>
        <v>0</v>
      </c>
      <c r="G29" s="946">
        <f>VLOOKUP(B29,$O$2:$Q$13,3,0)</f>
        <v>99</v>
      </c>
      <c r="H29" s="947">
        <f t="shared" ref="H29:H39" si="13">G29*C29</f>
        <v>6237</v>
      </c>
      <c r="I29" s="947">
        <f t="shared" ref="I29:I39" si="14">H29+F29</f>
        <v>6237</v>
      </c>
      <c r="J29" s="1066"/>
      <c r="AA29" s="459">
        <f t="shared" si="2"/>
        <v>0</v>
      </c>
      <c r="AB29" s="459">
        <f t="shared" si="2"/>
        <v>63</v>
      </c>
    </row>
    <row r="30" spans="1:32" s="344" customFormat="1" ht="25.15" customHeight="1">
      <c r="A30" s="1066" t="s">
        <v>1850</v>
      </c>
      <c r="B30" s="995" t="s">
        <v>565</v>
      </c>
      <c r="C30" s="1058">
        <v>1</v>
      </c>
      <c r="D30" s="1066" t="s">
        <v>545</v>
      </c>
      <c r="E30" s="946">
        <v>495</v>
      </c>
      <c r="F30" s="946">
        <f t="shared" si="12"/>
        <v>495</v>
      </c>
      <c r="G30" s="946">
        <v>91</v>
      </c>
      <c r="H30" s="947">
        <f t="shared" si="13"/>
        <v>91</v>
      </c>
      <c r="I30" s="947">
        <f t="shared" si="14"/>
        <v>586</v>
      </c>
      <c r="J30" s="1066"/>
      <c r="AA30" s="459">
        <f t="shared" si="2"/>
        <v>0</v>
      </c>
      <c r="AB30" s="459">
        <f t="shared" si="2"/>
        <v>0</v>
      </c>
    </row>
    <row r="31" spans="1:32" s="344" customFormat="1" ht="25.15" customHeight="1">
      <c r="A31" s="1066" t="s">
        <v>1851</v>
      </c>
      <c r="B31" s="995" t="s">
        <v>566</v>
      </c>
      <c r="C31" s="1058">
        <v>1</v>
      </c>
      <c r="D31" s="1066" t="s">
        <v>545</v>
      </c>
      <c r="E31" s="946">
        <v>2193</v>
      </c>
      <c r="F31" s="946">
        <f t="shared" si="12"/>
        <v>2193</v>
      </c>
      <c r="G31" s="946">
        <v>306</v>
      </c>
      <c r="H31" s="947">
        <f t="shared" si="13"/>
        <v>306</v>
      </c>
      <c r="I31" s="947">
        <f t="shared" si="14"/>
        <v>2499</v>
      </c>
      <c r="J31" s="1066"/>
      <c r="AA31" s="459">
        <f t="shared" si="2"/>
        <v>0</v>
      </c>
      <c r="AB31" s="459">
        <f t="shared" si="2"/>
        <v>0</v>
      </c>
    </row>
    <row r="32" spans="1:32" s="344" customFormat="1" ht="25.15" customHeight="1">
      <c r="A32" s="1066" t="s">
        <v>1852</v>
      </c>
      <c r="B32" s="995" t="s">
        <v>567</v>
      </c>
      <c r="C32" s="1058">
        <v>7</v>
      </c>
      <c r="D32" s="1066" t="s">
        <v>545</v>
      </c>
      <c r="E32" s="946">
        <v>2420</v>
      </c>
      <c r="F32" s="946">
        <f t="shared" si="12"/>
        <v>16940</v>
      </c>
      <c r="G32" s="946">
        <v>306</v>
      </c>
      <c r="H32" s="947">
        <f t="shared" si="13"/>
        <v>2142</v>
      </c>
      <c r="I32" s="947">
        <f t="shared" si="14"/>
        <v>19082</v>
      </c>
      <c r="J32" s="1066"/>
      <c r="AA32" s="459">
        <f t="shared" si="2"/>
        <v>0</v>
      </c>
      <c r="AB32" s="459">
        <f t="shared" si="2"/>
        <v>0</v>
      </c>
    </row>
    <row r="33" spans="1:28" s="344" customFormat="1" ht="25.15" customHeight="1">
      <c r="A33" s="1066" t="s">
        <v>1853</v>
      </c>
      <c r="B33" s="995" t="s">
        <v>568</v>
      </c>
      <c r="C33" s="549">
        <v>144</v>
      </c>
      <c r="D33" s="1066" t="s">
        <v>85</v>
      </c>
      <c r="E33" s="946">
        <v>25.09</v>
      </c>
      <c r="F33" s="946">
        <f t="shared" si="12"/>
        <v>3612.96</v>
      </c>
      <c r="G33" s="946">
        <v>4.0999999999999996</v>
      </c>
      <c r="H33" s="947">
        <f t="shared" si="13"/>
        <v>590.4</v>
      </c>
      <c r="I33" s="947">
        <f t="shared" si="14"/>
        <v>4203.3599999999997</v>
      </c>
      <c r="J33" s="1066"/>
      <c r="K33" s="461"/>
      <c r="AA33" s="459">
        <f t="shared" si="2"/>
        <v>0</v>
      </c>
      <c r="AB33" s="459">
        <f t="shared" si="2"/>
        <v>0</v>
      </c>
    </row>
    <row r="34" spans="1:28" s="344" customFormat="1" ht="25.15" customHeight="1">
      <c r="A34" s="1066" t="s">
        <v>1854</v>
      </c>
      <c r="B34" s="995" t="s">
        <v>574</v>
      </c>
      <c r="C34" s="549">
        <v>624</v>
      </c>
      <c r="D34" s="1066" t="s">
        <v>85</v>
      </c>
      <c r="E34" s="946">
        <v>26.36</v>
      </c>
      <c r="F34" s="946">
        <f t="shared" si="12"/>
        <v>16448.64</v>
      </c>
      <c r="G34" s="946">
        <v>3.3</v>
      </c>
      <c r="H34" s="947">
        <f t="shared" si="13"/>
        <v>2059.1999999999998</v>
      </c>
      <c r="I34" s="947">
        <f t="shared" si="14"/>
        <v>18507.84</v>
      </c>
      <c r="J34" s="1066"/>
      <c r="AA34" s="459">
        <f t="shared" si="2"/>
        <v>0</v>
      </c>
      <c r="AB34" s="459">
        <f t="shared" si="2"/>
        <v>0</v>
      </c>
    </row>
    <row r="35" spans="1:28" s="344" customFormat="1">
      <c r="A35" s="1066" t="s">
        <v>1855</v>
      </c>
      <c r="B35" s="995" t="s">
        <v>570</v>
      </c>
      <c r="C35" s="549">
        <f>C36*0.025*35.31</f>
        <v>30.896250000000002</v>
      </c>
      <c r="D35" s="1066" t="s">
        <v>598</v>
      </c>
      <c r="E35" s="946">
        <f>VLOOKUP(B35,$O$2:$Q$13,2,0)</f>
        <v>400</v>
      </c>
      <c r="F35" s="946">
        <f t="shared" si="12"/>
        <v>12358.5</v>
      </c>
      <c r="G35" s="946">
        <f>VLOOKUP(B35,$O$2:$Q$13,3,0)</f>
        <v>0</v>
      </c>
      <c r="H35" s="947">
        <f t="shared" si="13"/>
        <v>0</v>
      </c>
      <c r="I35" s="947">
        <f t="shared" si="14"/>
        <v>12358.5</v>
      </c>
      <c r="J35" s="1066"/>
      <c r="AA35" s="459">
        <f t="shared" si="2"/>
        <v>0</v>
      </c>
      <c r="AB35" s="459">
        <f t="shared" si="2"/>
        <v>0</v>
      </c>
    </row>
    <row r="36" spans="1:28" s="344" customFormat="1">
      <c r="A36" s="1066" t="s">
        <v>1856</v>
      </c>
      <c r="B36" s="995" t="s">
        <v>1036</v>
      </c>
      <c r="C36" s="549">
        <v>35</v>
      </c>
      <c r="D36" s="1066" t="s">
        <v>278</v>
      </c>
      <c r="E36" s="946">
        <f>VLOOKUP(B36,$O$2:$Q$13,2,0)</f>
        <v>0</v>
      </c>
      <c r="F36" s="946">
        <f t="shared" si="12"/>
        <v>0</v>
      </c>
      <c r="G36" s="946">
        <f>VLOOKUP(B36,$O$2:$Q$13,3,0)</f>
        <v>133</v>
      </c>
      <c r="H36" s="947">
        <f t="shared" si="13"/>
        <v>4655</v>
      </c>
      <c r="I36" s="947">
        <f t="shared" si="14"/>
        <v>4655</v>
      </c>
      <c r="J36" s="1066"/>
      <c r="AA36" s="459">
        <f t="shared" si="2"/>
        <v>35</v>
      </c>
      <c r="AB36" s="459">
        <f>IF($B36=AB$1,$C36,0)</f>
        <v>0</v>
      </c>
    </row>
    <row r="37" spans="1:28" s="344" customFormat="1">
      <c r="A37" s="1066" t="s">
        <v>1857</v>
      </c>
      <c r="B37" s="995" t="s">
        <v>571</v>
      </c>
      <c r="C37" s="549">
        <v>4</v>
      </c>
      <c r="D37" s="1066" t="s">
        <v>598</v>
      </c>
      <c r="E37" s="946">
        <f>VLOOKUP(B37,$O$2:$Q$13,2,0)</f>
        <v>400</v>
      </c>
      <c r="F37" s="946">
        <f t="shared" si="12"/>
        <v>1600</v>
      </c>
      <c r="G37" s="946">
        <f>VLOOKUP(B37,$O$2:$Q$13,3,0)</f>
        <v>0</v>
      </c>
      <c r="H37" s="947">
        <f t="shared" si="13"/>
        <v>0</v>
      </c>
      <c r="I37" s="947">
        <f t="shared" si="14"/>
        <v>1600</v>
      </c>
      <c r="J37" s="1066"/>
      <c r="AA37" s="459">
        <f t="shared" si="2"/>
        <v>0</v>
      </c>
      <c r="AB37" s="459">
        <f t="shared" si="2"/>
        <v>0</v>
      </c>
    </row>
    <row r="38" spans="1:28" s="344" customFormat="1" ht="24.75" customHeight="1">
      <c r="A38" s="1066" t="s">
        <v>1858</v>
      </c>
      <c r="B38" s="995" t="s">
        <v>572</v>
      </c>
      <c r="C38" s="1058">
        <v>7</v>
      </c>
      <c r="D38" s="1066" t="s">
        <v>85</v>
      </c>
      <c r="E38" s="946">
        <f>VLOOKUP(B38,$O$2:$Q$13,2,0)</f>
        <v>56.78</v>
      </c>
      <c r="F38" s="946">
        <f t="shared" si="12"/>
        <v>397.46000000000004</v>
      </c>
      <c r="G38" s="946">
        <f>VLOOKUP(B38,$O$2:$Q$13,3,0)</f>
        <v>0</v>
      </c>
      <c r="H38" s="947">
        <f t="shared" si="13"/>
        <v>0</v>
      </c>
      <c r="I38" s="947">
        <f t="shared" si="14"/>
        <v>397.46000000000004</v>
      </c>
      <c r="J38" s="1066"/>
      <c r="AA38" s="459">
        <f t="shared" si="2"/>
        <v>0</v>
      </c>
      <c r="AB38" s="459">
        <f t="shared" si="2"/>
        <v>0</v>
      </c>
    </row>
    <row r="39" spans="1:28" s="344" customFormat="1" ht="25.15" customHeight="1">
      <c r="A39" s="1066" t="s">
        <v>1859</v>
      </c>
      <c r="B39" s="995" t="s">
        <v>573</v>
      </c>
      <c r="C39" s="1058">
        <v>23</v>
      </c>
      <c r="D39" s="1066" t="s">
        <v>85</v>
      </c>
      <c r="E39" s="946">
        <v>33</v>
      </c>
      <c r="F39" s="946">
        <f t="shared" si="12"/>
        <v>759</v>
      </c>
      <c r="G39" s="946">
        <f>VLOOKUP(B39,$O$2:$Q$13,3,0)</f>
        <v>0</v>
      </c>
      <c r="H39" s="947">
        <f t="shared" si="13"/>
        <v>0</v>
      </c>
      <c r="I39" s="947">
        <f t="shared" si="14"/>
        <v>759</v>
      </c>
      <c r="J39" s="1066"/>
      <c r="AA39" s="459">
        <f t="shared" si="2"/>
        <v>0</v>
      </c>
      <c r="AB39" s="459">
        <f t="shared" si="2"/>
        <v>0</v>
      </c>
    </row>
    <row r="40" spans="1:28" s="344" customFormat="1" ht="25.15" customHeight="1">
      <c r="A40" s="1089"/>
      <c r="B40" s="563" t="s">
        <v>1317</v>
      </c>
      <c r="C40" s="1090"/>
      <c r="D40" s="1089"/>
      <c r="E40" s="1091"/>
      <c r="F40" s="1091"/>
      <c r="G40" s="1091"/>
      <c r="H40" s="1092"/>
      <c r="I40" s="1093">
        <f>SUM(I29:I39)</f>
        <v>70885.16</v>
      </c>
      <c r="J40" s="1089"/>
      <c r="AA40" s="459"/>
      <c r="AB40" s="459"/>
    </row>
    <row r="41" spans="1:28" s="344" customFormat="1" ht="25.15" customHeight="1">
      <c r="A41" s="1084" t="s">
        <v>1113</v>
      </c>
      <c r="B41" s="1085" t="s">
        <v>141</v>
      </c>
      <c r="C41" s="1086"/>
      <c r="D41" s="1084"/>
      <c r="E41" s="1087"/>
      <c r="F41" s="1088"/>
      <c r="G41" s="1087"/>
      <c r="H41" s="1088"/>
      <c r="I41" s="1088"/>
      <c r="J41" s="1084"/>
      <c r="AA41" s="459">
        <f t="shared" si="2"/>
        <v>0</v>
      </c>
      <c r="AB41" s="459">
        <f t="shared" si="2"/>
        <v>0</v>
      </c>
    </row>
    <row r="42" spans="1:28" s="344" customFormat="1" ht="25.15" customHeight="1">
      <c r="A42" s="1066" t="s">
        <v>1860</v>
      </c>
      <c r="B42" s="995" t="s">
        <v>564</v>
      </c>
      <c r="C42" s="1058">
        <v>213</v>
      </c>
      <c r="D42" s="1066" t="s">
        <v>545</v>
      </c>
      <c r="E42" s="946">
        <f>VLOOKUP(B42,$O$2:$Q$13,2,0)</f>
        <v>0</v>
      </c>
      <c r="F42" s="946">
        <f t="shared" ref="F42:F53" si="15">E42*C42</f>
        <v>0</v>
      </c>
      <c r="G42" s="946">
        <f>VLOOKUP(B42,$O$2:$Q$13,3,0)</f>
        <v>99</v>
      </c>
      <c r="H42" s="947">
        <f t="shared" ref="H42:H53" si="16">G42*C42</f>
        <v>21087</v>
      </c>
      <c r="I42" s="947">
        <f t="shared" ref="I42:I53" si="17">H42+F42</f>
        <v>21087</v>
      </c>
      <c r="J42" s="1066"/>
      <c r="AA42" s="459">
        <f t="shared" si="2"/>
        <v>0</v>
      </c>
      <c r="AB42" s="459">
        <f t="shared" si="2"/>
        <v>213</v>
      </c>
    </row>
    <row r="43" spans="1:28" s="344" customFormat="1" ht="25.15" customHeight="1">
      <c r="A43" s="1066" t="s">
        <v>1861</v>
      </c>
      <c r="B43" s="995" t="s">
        <v>565</v>
      </c>
      <c r="C43" s="1058">
        <v>3</v>
      </c>
      <c r="D43" s="1066" t="s">
        <v>545</v>
      </c>
      <c r="E43" s="946">
        <v>495</v>
      </c>
      <c r="F43" s="946">
        <f t="shared" si="15"/>
        <v>1485</v>
      </c>
      <c r="G43" s="946">
        <v>91</v>
      </c>
      <c r="H43" s="947">
        <f t="shared" si="16"/>
        <v>273</v>
      </c>
      <c r="I43" s="947">
        <f t="shared" si="17"/>
        <v>1758</v>
      </c>
      <c r="J43" s="1066"/>
      <c r="AA43" s="459">
        <f t="shared" si="2"/>
        <v>0</v>
      </c>
      <c r="AB43" s="459">
        <f t="shared" si="2"/>
        <v>0</v>
      </c>
    </row>
    <row r="44" spans="1:28" s="344" customFormat="1" ht="25.15" customHeight="1">
      <c r="A44" s="1066" t="s">
        <v>1862</v>
      </c>
      <c r="B44" s="995" t="s">
        <v>566</v>
      </c>
      <c r="C44" s="1058">
        <v>3</v>
      </c>
      <c r="D44" s="1066" t="s">
        <v>545</v>
      </c>
      <c r="E44" s="946">
        <v>2193</v>
      </c>
      <c r="F44" s="946">
        <f t="shared" si="15"/>
        <v>6579</v>
      </c>
      <c r="G44" s="946">
        <v>306</v>
      </c>
      <c r="H44" s="947">
        <f t="shared" si="16"/>
        <v>918</v>
      </c>
      <c r="I44" s="947">
        <f t="shared" si="17"/>
        <v>7497</v>
      </c>
      <c r="J44" s="1066"/>
      <c r="AA44" s="459">
        <f t="shared" si="2"/>
        <v>0</v>
      </c>
      <c r="AB44" s="459">
        <f t="shared" si="2"/>
        <v>0</v>
      </c>
    </row>
    <row r="45" spans="1:28" s="344" customFormat="1" ht="25.15" customHeight="1">
      <c r="A45" s="1066" t="s">
        <v>1863</v>
      </c>
      <c r="B45" s="995" t="s">
        <v>567</v>
      </c>
      <c r="C45" s="1058">
        <v>34</v>
      </c>
      <c r="D45" s="1066" t="s">
        <v>545</v>
      </c>
      <c r="E45" s="946">
        <v>2420</v>
      </c>
      <c r="F45" s="946">
        <f t="shared" si="15"/>
        <v>82280</v>
      </c>
      <c r="G45" s="946">
        <v>306</v>
      </c>
      <c r="H45" s="947">
        <f t="shared" si="16"/>
        <v>10404</v>
      </c>
      <c r="I45" s="947">
        <f t="shared" si="17"/>
        <v>92684</v>
      </c>
      <c r="J45" s="1066"/>
      <c r="AA45" s="459">
        <f t="shared" si="2"/>
        <v>0</v>
      </c>
      <c r="AB45" s="459">
        <f t="shared" si="2"/>
        <v>0</v>
      </c>
    </row>
    <row r="46" spans="1:28" s="344" customFormat="1" ht="25.15" customHeight="1">
      <c r="A46" s="1066" t="s">
        <v>1864</v>
      </c>
      <c r="B46" s="995" t="s">
        <v>568</v>
      </c>
      <c r="C46" s="549">
        <v>101</v>
      </c>
      <c r="D46" s="1066" t="s">
        <v>85</v>
      </c>
      <c r="E46" s="946">
        <v>25.09</v>
      </c>
      <c r="F46" s="946">
        <f t="shared" si="15"/>
        <v>2534.09</v>
      </c>
      <c r="G46" s="946">
        <v>4.0999999999999996</v>
      </c>
      <c r="H46" s="947">
        <f t="shared" si="16"/>
        <v>414.09999999999997</v>
      </c>
      <c r="I46" s="947">
        <f t="shared" si="17"/>
        <v>2948.19</v>
      </c>
      <c r="J46" s="1066"/>
      <c r="K46" s="461"/>
      <c r="AA46" s="459">
        <f t="shared" si="2"/>
        <v>0</v>
      </c>
      <c r="AB46" s="459">
        <f t="shared" si="2"/>
        <v>0</v>
      </c>
    </row>
    <row r="47" spans="1:28" s="344" customFormat="1" ht="25.15" customHeight="1">
      <c r="A47" s="1066" t="s">
        <v>1865</v>
      </c>
      <c r="B47" s="995" t="s">
        <v>569</v>
      </c>
      <c r="C47" s="549">
        <v>927</v>
      </c>
      <c r="D47" s="1066" t="s">
        <v>85</v>
      </c>
      <c r="E47" s="946">
        <v>26.36</v>
      </c>
      <c r="F47" s="946">
        <f t="shared" si="15"/>
        <v>24435.72</v>
      </c>
      <c r="G47" s="946">
        <v>3.3</v>
      </c>
      <c r="H47" s="947">
        <f t="shared" si="16"/>
        <v>3059.1</v>
      </c>
      <c r="I47" s="947">
        <f t="shared" si="17"/>
        <v>27494.82</v>
      </c>
      <c r="J47" s="1066"/>
      <c r="AA47" s="459">
        <f t="shared" si="2"/>
        <v>0</v>
      </c>
      <c r="AB47" s="459">
        <f t="shared" si="2"/>
        <v>0</v>
      </c>
    </row>
    <row r="48" spans="1:28" s="344" customFormat="1" ht="25.15" customHeight="1">
      <c r="A48" s="1066" t="s">
        <v>1866</v>
      </c>
      <c r="B48" s="995" t="s">
        <v>589</v>
      </c>
      <c r="C48" s="549">
        <v>1853</v>
      </c>
      <c r="D48" s="1066" t="s">
        <v>85</v>
      </c>
      <c r="E48" s="946">
        <v>26.16</v>
      </c>
      <c r="F48" s="946">
        <f t="shared" si="15"/>
        <v>48474.48</v>
      </c>
      <c r="G48" s="946">
        <v>2.9</v>
      </c>
      <c r="H48" s="947">
        <f t="shared" si="16"/>
        <v>5373.7</v>
      </c>
      <c r="I48" s="947">
        <f t="shared" si="17"/>
        <v>53848.18</v>
      </c>
      <c r="J48" s="1066"/>
      <c r="AA48" s="459">
        <f t="shared" si="2"/>
        <v>0</v>
      </c>
      <c r="AB48" s="459">
        <f t="shared" si="2"/>
        <v>0</v>
      </c>
    </row>
    <row r="49" spans="1:28" s="344" customFormat="1" ht="25.15" customHeight="1">
      <c r="A49" s="1066" t="s">
        <v>1867</v>
      </c>
      <c r="B49" s="995" t="s">
        <v>570</v>
      </c>
      <c r="C49" s="549">
        <f>C50*0.025*35.31</f>
        <v>114.75750000000001</v>
      </c>
      <c r="D49" s="1066" t="s">
        <v>598</v>
      </c>
      <c r="E49" s="946">
        <f>VLOOKUP(B49,$O$2:$Q$13,2,0)</f>
        <v>400</v>
      </c>
      <c r="F49" s="946">
        <f t="shared" si="15"/>
        <v>45903</v>
      </c>
      <c r="G49" s="946">
        <f>VLOOKUP(B49,$O$2:$Q$13,3,0)</f>
        <v>0</v>
      </c>
      <c r="H49" s="947">
        <f t="shared" si="16"/>
        <v>0</v>
      </c>
      <c r="I49" s="947">
        <f t="shared" si="17"/>
        <v>45903</v>
      </c>
      <c r="J49" s="1066"/>
      <c r="AA49" s="459">
        <f t="shared" si="2"/>
        <v>0</v>
      </c>
      <c r="AB49" s="459">
        <f t="shared" si="2"/>
        <v>0</v>
      </c>
    </row>
    <row r="50" spans="1:28" s="344" customFormat="1" ht="25.15" customHeight="1">
      <c r="A50" s="1066" t="s">
        <v>1868</v>
      </c>
      <c r="B50" s="995" t="s">
        <v>1036</v>
      </c>
      <c r="C50" s="549">
        <v>130</v>
      </c>
      <c r="D50" s="1066" t="s">
        <v>278</v>
      </c>
      <c r="E50" s="946">
        <f>VLOOKUP(B50,$O$2:$Q$13,2,0)</f>
        <v>0</v>
      </c>
      <c r="F50" s="946">
        <f t="shared" si="15"/>
        <v>0</v>
      </c>
      <c r="G50" s="946">
        <f>VLOOKUP(B50,$O$2:$Q$13,3,0)</f>
        <v>133</v>
      </c>
      <c r="H50" s="947">
        <f t="shared" si="16"/>
        <v>17290</v>
      </c>
      <c r="I50" s="947">
        <f t="shared" si="17"/>
        <v>17290</v>
      </c>
      <c r="J50" s="1066"/>
      <c r="AA50" s="459">
        <f t="shared" si="2"/>
        <v>130</v>
      </c>
      <c r="AB50" s="459">
        <f t="shared" si="2"/>
        <v>0</v>
      </c>
    </row>
    <row r="51" spans="1:28" s="344" customFormat="1" ht="25.15" customHeight="1">
      <c r="A51" s="1066" t="s">
        <v>1869</v>
      </c>
      <c r="B51" s="995" t="s">
        <v>571</v>
      </c>
      <c r="C51" s="549">
        <v>14</v>
      </c>
      <c r="D51" s="1066" t="s">
        <v>598</v>
      </c>
      <c r="E51" s="946">
        <f>VLOOKUP(B51,$O$2:$Q$13,2,0)</f>
        <v>400</v>
      </c>
      <c r="F51" s="946">
        <f t="shared" si="15"/>
        <v>5600</v>
      </c>
      <c r="G51" s="946">
        <f>VLOOKUP(B51,$O$2:$Q$13,3,0)</f>
        <v>0</v>
      </c>
      <c r="H51" s="947">
        <f t="shared" si="16"/>
        <v>0</v>
      </c>
      <c r="I51" s="947">
        <f t="shared" si="17"/>
        <v>5600</v>
      </c>
      <c r="J51" s="1066"/>
      <c r="AA51" s="459">
        <f t="shared" si="2"/>
        <v>0</v>
      </c>
      <c r="AB51" s="459">
        <f t="shared" si="2"/>
        <v>0</v>
      </c>
    </row>
    <row r="52" spans="1:28" s="344" customFormat="1">
      <c r="A52" s="1066" t="s">
        <v>1870</v>
      </c>
      <c r="B52" s="995" t="s">
        <v>572</v>
      </c>
      <c r="C52" s="1058">
        <v>26</v>
      </c>
      <c r="D52" s="1066" t="s">
        <v>85</v>
      </c>
      <c r="E52" s="946">
        <f>VLOOKUP(B52,$O$2:$Q$13,2,0)</f>
        <v>56.78</v>
      </c>
      <c r="F52" s="946">
        <f t="shared" si="15"/>
        <v>1476.28</v>
      </c>
      <c r="G52" s="946">
        <f>VLOOKUP(B52,$O$2:$Q$13,3,0)</f>
        <v>0</v>
      </c>
      <c r="H52" s="947">
        <f t="shared" si="16"/>
        <v>0</v>
      </c>
      <c r="I52" s="947">
        <f t="shared" si="17"/>
        <v>1476.28</v>
      </c>
      <c r="J52" s="1066"/>
      <c r="AA52" s="459">
        <f t="shared" si="2"/>
        <v>0</v>
      </c>
      <c r="AB52" s="459">
        <f t="shared" si="2"/>
        <v>0</v>
      </c>
    </row>
    <row r="53" spans="1:28" s="344" customFormat="1" ht="24.75" customHeight="1">
      <c r="A53" s="1066" t="s">
        <v>1871</v>
      </c>
      <c r="B53" s="995" t="s">
        <v>573</v>
      </c>
      <c r="C53" s="1058">
        <v>86</v>
      </c>
      <c r="D53" s="1066" t="s">
        <v>85</v>
      </c>
      <c r="E53" s="946">
        <v>33</v>
      </c>
      <c r="F53" s="946">
        <f t="shared" si="15"/>
        <v>2838</v>
      </c>
      <c r="G53" s="946">
        <f>VLOOKUP(B53,$O$2:$Q$13,3,0)</f>
        <v>0</v>
      </c>
      <c r="H53" s="947">
        <f t="shared" si="16"/>
        <v>0</v>
      </c>
      <c r="I53" s="947">
        <f t="shared" si="17"/>
        <v>2838</v>
      </c>
      <c r="J53" s="1066"/>
      <c r="AA53" s="459">
        <f t="shared" si="2"/>
        <v>0</v>
      </c>
      <c r="AB53" s="459">
        <f t="shared" si="2"/>
        <v>0</v>
      </c>
    </row>
    <row r="54" spans="1:28" s="344" customFormat="1" ht="24.75" customHeight="1">
      <c r="A54" s="1089"/>
      <c r="B54" s="563" t="s">
        <v>1318</v>
      </c>
      <c r="C54" s="1090"/>
      <c r="D54" s="1089"/>
      <c r="E54" s="1091"/>
      <c r="F54" s="1091"/>
      <c r="G54" s="1091"/>
      <c r="H54" s="1092"/>
      <c r="I54" s="1093">
        <f>SUM(I42:I53)</f>
        <v>280424.47000000003</v>
      </c>
      <c r="J54" s="1089"/>
      <c r="AA54" s="459"/>
      <c r="AB54" s="459"/>
    </row>
    <row r="55" spans="1:28" s="344" customFormat="1" ht="26.25" customHeight="1">
      <c r="A55" s="1084" t="s">
        <v>1114</v>
      </c>
      <c r="B55" s="1085" t="s">
        <v>142</v>
      </c>
      <c r="C55" s="1086"/>
      <c r="D55" s="1084"/>
      <c r="E55" s="1087"/>
      <c r="F55" s="1088"/>
      <c r="G55" s="1087"/>
      <c r="H55" s="1088"/>
      <c r="I55" s="1088"/>
      <c r="J55" s="1084"/>
      <c r="AA55" s="459">
        <f t="shared" si="2"/>
        <v>0</v>
      </c>
      <c r="AB55" s="459">
        <f t="shared" si="2"/>
        <v>0</v>
      </c>
    </row>
    <row r="56" spans="1:28" s="344" customFormat="1" ht="26.25" customHeight="1">
      <c r="A56" s="1066" t="s">
        <v>1872</v>
      </c>
      <c r="B56" s="995" t="s">
        <v>564</v>
      </c>
      <c r="C56" s="1058">
        <v>23</v>
      </c>
      <c r="D56" s="1066" t="s">
        <v>545</v>
      </c>
      <c r="E56" s="946">
        <f>VLOOKUP(B56,$O$2:$Q$13,2,0)</f>
        <v>0</v>
      </c>
      <c r="F56" s="946">
        <f t="shared" ref="F56:F66" si="18">E56*C56</f>
        <v>0</v>
      </c>
      <c r="G56" s="946">
        <f>VLOOKUP(B56,$O$2:$Q$13,3,0)</f>
        <v>99</v>
      </c>
      <c r="H56" s="947">
        <f t="shared" ref="H56:H66" si="19">G56*C56</f>
        <v>2277</v>
      </c>
      <c r="I56" s="947">
        <f t="shared" ref="I56:I66" si="20">H56+F56</f>
        <v>2277</v>
      </c>
      <c r="J56" s="1066"/>
      <c r="AA56" s="459">
        <f t="shared" si="2"/>
        <v>0</v>
      </c>
      <c r="AB56" s="459">
        <f t="shared" si="2"/>
        <v>23</v>
      </c>
    </row>
    <row r="57" spans="1:28" s="344" customFormat="1" ht="26.25" customHeight="1">
      <c r="A57" s="1066" t="s">
        <v>1873</v>
      </c>
      <c r="B57" s="995" t="s">
        <v>565</v>
      </c>
      <c r="C57" s="1058">
        <v>1</v>
      </c>
      <c r="D57" s="1066" t="s">
        <v>545</v>
      </c>
      <c r="E57" s="946">
        <v>495</v>
      </c>
      <c r="F57" s="946">
        <f t="shared" si="18"/>
        <v>495</v>
      </c>
      <c r="G57" s="946">
        <v>91</v>
      </c>
      <c r="H57" s="947">
        <f t="shared" si="19"/>
        <v>91</v>
      </c>
      <c r="I57" s="947">
        <f t="shared" si="20"/>
        <v>586</v>
      </c>
      <c r="J57" s="1066"/>
      <c r="AA57" s="459">
        <f t="shared" si="2"/>
        <v>0</v>
      </c>
      <c r="AB57" s="459">
        <f t="shared" si="2"/>
        <v>0</v>
      </c>
    </row>
    <row r="58" spans="1:28" s="344" customFormat="1" ht="26.25" customHeight="1">
      <c r="A58" s="1066" t="s">
        <v>1874</v>
      </c>
      <c r="B58" s="995" t="s">
        <v>566</v>
      </c>
      <c r="C58" s="1058">
        <v>1</v>
      </c>
      <c r="D58" s="1066" t="s">
        <v>545</v>
      </c>
      <c r="E58" s="946">
        <v>2193</v>
      </c>
      <c r="F58" s="946">
        <f t="shared" si="18"/>
        <v>2193</v>
      </c>
      <c r="G58" s="946">
        <v>306</v>
      </c>
      <c r="H58" s="947">
        <f t="shared" si="19"/>
        <v>306</v>
      </c>
      <c r="I58" s="947">
        <f t="shared" si="20"/>
        <v>2499</v>
      </c>
      <c r="J58" s="1066"/>
      <c r="AA58" s="459">
        <f t="shared" si="2"/>
        <v>0</v>
      </c>
      <c r="AB58" s="459">
        <f t="shared" si="2"/>
        <v>0</v>
      </c>
    </row>
    <row r="59" spans="1:28" s="344" customFormat="1" ht="26.25" customHeight="1">
      <c r="A59" s="1066" t="s">
        <v>1875</v>
      </c>
      <c r="B59" s="995" t="s">
        <v>567</v>
      </c>
      <c r="C59" s="1058">
        <v>7</v>
      </c>
      <c r="D59" s="1066" t="s">
        <v>545</v>
      </c>
      <c r="E59" s="946">
        <v>2420</v>
      </c>
      <c r="F59" s="946">
        <f t="shared" si="18"/>
        <v>16940</v>
      </c>
      <c r="G59" s="946">
        <v>306</v>
      </c>
      <c r="H59" s="947">
        <f t="shared" si="19"/>
        <v>2142</v>
      </c>
      <c r="I59" s="947">
        <f t="shared" si="20"/>
        <v>19082</v>
      </c>
      <c r="J59" s="1066"/>
      <c r="AA59" s="459">
        <f t="shared" si="2"/>
        <v>0</v>
      </c>
      <c r="AB59" s="459">
        <f t="shared" si="2"/>
        <v>0</v>
      </c>
    </row>
    <row r="60" spans="1:28" s="344" customFormat="1" ht="26.25" customHeight="1">
      <c r="A60" s="1066" t="s">
        <v>1876</v>
      </c>
      <c r="B60" s="995" t="s">
        <v>568</v>
      </c>
      <c r="C60" s="549">
        <v>15</v>
      </c>
      <c r="D60" s="1066" t="s">
        <v>85</v>
      </c>
      <c r="E60" s="946">
        <v>25.09</v>
      </c>
      <c r="F60" s="946">
        <f t="shared" si="18"/>
        <v>376.35</v>
      </c>
      <c r="G60" s="946">
        <v>4.0999999999999996</v>
      </c>
      <c r="H60" s="947">
        <f t="shared" si="19"/>
        <v>61.499999999999993</v>
      </c>
      <c r="I60" s="947">
        <f t="shared" si="20"/>
        <v>437.85</v>
      </c>
      <c r="J60" s="1066"/>
      <c r="K60" s="462"/>
      <c r="AA60" s="459">
        <f t="shared" si="2"/>
        <v>0</v>
      </c>
      <c r="AB60" s="459">
        <f t="shared" si="2"/>
        <v>0</v>
      </c>
    </row>
    <row r="61" spans="1:28" s="344" customFormat="1" ht="26.25" customHeight="1">
      <c r="A61" s="1066" t="s">
        <v>1877</v>
      </c>
      <c r="B61" s="995" t="s">
        <v>589</v>
      </c>
      <c r="C61" s="549">
        <v>878</v>
      </c>
      <c r="D61" s="1066" t="s">
        <v>85</v>
      </c>
      <c r="E61" s="946">
        <v>26.16</v>
      </c>
      <c r="F61" s="946">
        <f t="shared" si="18"/>
        <v>22968.48</v>
      </c>
      <c r="G61" s="946">
        <v>2.9</v>
      </c>
      <c r="H61" s="947">
        <f t="shared" si="19"/>
        <v>2546.1999999999998</v>
      </c>
      <c r="I61" s="947">
        <f t="shared" si="20"/>
        <v>25514.68</v>
      </c>
      <c r="J61" s="1066"/>
      <c r="AA61" s="459">
        <f t="shared" si="2"/>
        <v>0</v>
      </c>
      <c r="AB61" s="459">
        <f t="shared" si="2"/>
        <v>0</v>
      </c>
    </row>
    <row r="62" spans="1:28" s="344" customFormat="1" ht="26.25" customHeight="1">
      <c r="A62" s="1066" t="s">
        <v>1878</v>
      </c>
      <c r="B62" s="995" t="s">
        <v>570</v>
      </c>
      <c r="C62" s="549">
        <f>C63*0.025*35.31</f>
        <v>12.358500000000001</v>
      </c>
      <c r="D62" s="1066" t="s">
        <v>598</v>
      </c>
      <c r="E62" s="946">
        <f>VLOOKUP(B62,$O$2:$Q$13,2,0)</f>
        <v>400</v>
      </c>
      <c r="F62" s="946">
        <f t="shared" si="18"/>
        <v>4943.4000000000005</v>
      </c>
      <c r="G62" s="946">
        <f>VLOOKUP(B62,$O$2:$Q$13,3,0)</f>
        <v>0</v>
      </c>
      <c r="H62" s="947">
        <f t="shared" si="19"/>
        <v>0</v>
      </c>
      <c r="I62" s="947">
        <f t="shared" si="20"/>
        <v>4943.4000000000005</v>
      </c>
      <c r="J62" s="1066"/>
      <c r="AA62" s="459">
        <f t="shared" si="2"/>
        <v>0</v>
      </c>
      <c r="AB62" s="459">
        <f t="shared" si="2"/>
        <v>0</v>
      </c>
    </row>
    <row r="63" spans="1:28" s="344" customFormat="1" ht="26.25" customHeight="1">
      <c r="A63" s="1066" t="s">
        <v>1879</v>
      </c>
      <c r="B63" s="995" t="s">
        <v>1036</v>
      </c>
      <c r="C63" s="549">
        <v>14</v>
      </c>
      <c r="D63" s="1066" t="s">
        <v>278</v>
      </c>
      <c r="E63" s="946">
        <f>VLOOKUP(B63,$O$2:$Q$13,2,0)</f>
        <v>0</v>
      </c>
      <c r="F63" s="946">
        <f t="shared" si="18"/>
        <v>0</v>
      </c>
      <c r="G63" s="946">
        <f>VLOOKUP(B63,$O$2:$Q$13,3,0)</f>
        <v>133</v>
      </c>
      <c r="H63" s="947">
        <f t="shared" si="19"/>
        <v>1862</v>
      </c>
      <c r="I63" s="947">
        <f t="shared" si="20"/>
        <v>1862</v>
      </c>
      <c r="J63" s="1066"/>
      <c r="AA63" s="459">
        <f t="shared" si="2"/>
        <v>14</v>
      </c>
      <c r="AB63" s="459">
        <f t="shared" si="2"/>
        <v>0</v>
      </c>
    </row>
    <row r="64" spans="1:28" s="344" customFormat="1" ht="26.25" customHeight="1">
      <c r="A64" s="1066" t="s">
        <v>1880</v>
      </c>
      <c r="B64" s="995" t="s">
        <v>571</v>
      </c>
      <c r="C64" s="549">
        <v>3</v>
      </c>
      <c r="D64" s="1066" t="s">
        <v>598</v>
      </c>
      <c r="E64" s="946">
        <f>VLOOKUP(B64,$O$2:$Q$13,2,0)</f>
        <v>400</v>
      </c>
      <c r="F64" s="946">
        <f t="shared" si="18"/>
        <v>1200</v>
      </c>
      <c r="G64" s="946">
        <f>VLOOKUP(B64,$O$2:$Q$13,3,0)</f>
        <v>0</v>
      </c>
      <c r="H64" s="947">
        <f t="shared" si="19"/>
        <v>0</v>
      </c>
      <c r="I64" s="947">
        <f t="shared" si="20"/>
        <v>1200</v>
      </c>
      <c r="J64" s="1066"/>
      <c r="AA64" s="459">
        <f t="shared" si="2"/>
        <v>0</v>
      </c>
      <c r="AB64" s="459">
        <f t="shared" si="2"/>
        <v>0</v>
      </c>
    </row>
    <row r="65" spans="1:28" s="344" customFormat="1" ht="26.25" customHeight="1">
      <c r="A65" s="1066" t="s">
        <v>1881</v>
      </c>
      <c r="B65" s="995" t="s">
        <v>572</v>
      </c>
      <c r="C65" s="1058">
        <v>4</v>
      </c>
      <c r="D65" s="1066" t="s">
        <v>85</v>
      </c>
      <c r="E65" s="946">
        <f>VLOOKUP(B65,$O$2:$Q$13,2,0)</f>
        <v>56.78</v>
      </c>
      <c r="F65" s="946">
        <f t="shared" si="18"/>
        <v>227.12</v>
      </c>
      <c r="G65" s="946">
        <f>VLOOKUP(B65,$O$2:$Q$13,3,0)</f>
        <v>0</v>
      </c>
      <c r="H65" s="947">
        <f t="shared" si="19"/>
        <v>0</v>
      </c>
      <c r="I65" s="947">
        <f t="shared" si="20"/>
        <v>227.12</v>
      </c>
      <c r="J65" s="1066"/>
      <c r="AA65" s="459">
        <f t="shared" si="2"/>
        <v>0</v>
      </c>
      <c r="AB65" s="459">
        <f t="shared" si="2"/>
        <v>0</v>
      </c>
    </row>
    <row r="66" spans="1:28" s="344" customFormat="1" ht="26.25" customHeight="1">
      <c r="A66" s="1066" t="s">
        <v>1882</v>
      </c>
      <c r="B66" s="995" t="s">
        <v>573</v>
      </c>
      <c r="C66" s="1058">
        <v>27</v>
      </c>
      <c r="D66" s="1066" t="s">
        <v>85</v>
      </c>
      <c r="E66" s="946">
        <v>33</v>
      </c>
      <c r="F66" s="946">
        <f t="shared" si="18"/>
        <v>891</v>
      </c>
      <c r="G66" s="946">
        <f>VLOOKUP(B66,$O$2:$Q$13,3,0)</f>
        <v>0</v>
      </c>
      <c r="H66" s="947">
        <f t="shared" si="19"/>
        <v>0</v>
      </c>
      <c r="I66" s="947">
        <f t="shared" si="20"/>
        <v>891</v>
      </c>
      <c r="J66" s="1066"/>
      <c r="AA66" s="459">
        <f t="shared" si="2"/>
        <v>0</v>
      </c>
      <c r="AB66" s="459">
        <f t="shared" si="2"/>
        <v>0</v>
      </c>
    </row>
    <row r="67" spans="1:28" s="344" customFormat="1" ht="26.25" customHeight="1">
      <c r="A67" s="1089"/>
      <c r="B67" s="563" t="s">
        <v>1319</v>
      </c>
      <c r="C67" s="1090"/>
      <c r="D67" s="1089"/>
      <c r="E67" s="1091"/>
      <c r="F67" s="1091"/>
      <c r="G67" s="1091"/>
      <c r="H67" s="1092"/>
      <c r="I67" s="1093">
        <f>SUM(I56:I66)</f>
        <v>59520.05</v>
      </c>
      <c r="J67" s="1089"/>
      <c r="AA67" s="459"/>
      <c r="AB67" s="459"/>
    </row>
    <row r="68" spans="1:28" s="344" customFormat="1" ht="26.25" customHeight="1">
      <c r="A68" s="1072"/>
      <c r="B68" s="551" t="s">
        <v>1272</v>
      </c>
      <c r="C68" s="1071"/>
      <c r="D68" s="1072"/>
      <c r="E68" s="1094"/>
      <c r="F68" s="1094"/>
      <c r="G68" s="1094"/>
      <c r="H68" s="1081"/>
      <c r="I68" s="1095">
        <f>I40+I54+I67</f>
        <v>410829.68</v>
      </c>
      <c r="J68" s="1072"/>
      <c r="AA68" s="459"/>
      <c r="AB68" s="459"/>
    </row>
    <row r="69" spans="1:28" s="344" customFormat="1" ht="26.25" customHeight="1">
      <c r="A69" s="1051">
        <v>2.4</v>
      </c>
      <c r="B69" s="1096" t="s">
        <v>575</v>
      </c>
      <c r="C69" s="1053"/>
      <c r="D69" s="991"/>
      <c r="E69" s="1055"/>
      <c r="F69" s="1056"/>
      <c r="G69" s="1055"/>
      <c r="H69" s="1056"/>
      <c r="I69" s="1056"/>
      <c r="J69" s="991"/>
      <c r="AA69" s="459">
        <f t="shared" si="2"/>
        <v>0</v>
      </c>
      <c r="AB69" s="459">
        <f t="shared" si="2"/>
        <v>0</v>
      </c>
    </row>
    <row r="70" spans="1:28" s="344" customFormat="1" ht="26.25" customHeight="1">
      <c r="A70" s="765" t="s">
        <v>1115</v>
      </c>
      <c r="B70" s="1085" t="s">
        <v>158</v>
      </c>
      <c r="C70" s="1086"/>
      <c r="D70" s="1084"/>
      <c r="E70" s="1087"/>
      <c r="F70" s="1088"/>
      <c r="G70" s="1087"/>
      <c r="H70" s="1088"/>
      <c r="I70" s="1088"/>
      <c r="J70" s="1084"/>
      <c r="AA70" s="459">
        <f t="shared" si="2"/>
        <v>0</v>
      </c>
      <c r="AB70" s="459">
        <f t="shared" si="2"/>
        <v>0</v>
      </c>
    </row>
    <row r="71" spans="1:28" s="344" customFormat="1" ht="26.25" customHeight="1">
      <c r="A71" s="436" t="s">
        <v>1883</v>
      </c>
      <c r="B71" s="995" t="s">
        <v>567</v>
      </c>
      <c r="C71" s="1058">
        <v>6</v>
      </c>
      <c r="D71" s="1066" t="s">
        <v>545</v>
      </c>
      <c r="E71" s="946">
        <v>2420</v>
      </c>
      <c r="F71" s="946">
        <f t="shared" ref="F71:F78" si="21">E71*C71</f>
        <v>14520</v>
      </c>
      <c r="G71" s="946">
        <v>306</v>
      </c>
      <c r="H71" s="947">
        <f t="shared" ref="H71:H78" si="22">G71*C71</f>
        <v>1836</v>
      </c>
      <c r="I71" s="947">
        <f t="shared" ref="I71:I78" si="23">H71+F71</f>
        <v>16356</v>
      </c>
      <c r="J71" s="1066"/>
      <c r="AA71" s="459">
        <f t="shared" si="2"/>
        <v>0</v>
      </c>
      <c r="AB71" s="459">
        <f t="shared" si="2"/>
        <v>0</v>
      </c>
    </row>
    <row r="72" spans="1:28" s="344" customFormat="1" ht="26.25" customHeight="1">
      <c r="A72" s="436" t="s">
        <v>1884</v>
      </c>
      <c r="B72" s="995" t="s">
        <v>576</v>
      </c>
      <c r="C72" s="1058">
        <v>92</v>
      </c>
      <c r="D72" s="1066" t="s">
        <v>85</v>
      </c>
      <c r="E72" s="946">
        <v>26.03</v>
      </c>
      <c r="F72" s="946">
        <f t="shared" si="21"/>
        <v>2394.7600000000002</v>
      </c>
      <c r="G72" s="946">
        <v>4.0999999999999996</v>
      </c>
      <c r="H72" s="947">
        <f t="shared" si="22"/>
        <v>377.2</v>
      </c>
      <c r="I72" s="947">
        <f t="shared" si="23"/>
        <v>2771.96</v>
      </c>
      <c r="J72" s="1066"/>
      <c r="AA72" s="459">
        <f t="shared" si="2"/>
        <v>0</v>
      </c>
      <c r="AB72" s="459">
        <f t="shared" si="2"/>
        <v>0</v>
      </c>
    </row>
    <row r="73" spans="1:28" s="344" customFormat="1" ht="26.25" customHeight="1">
      <c r="A73" s="436" t="s">
        <v>1885</v>
      </c>
      <c r="B73" s="995" t="s">
        <v>574</v>
      </c>
      <c r="C73" s="549">
        <v>1149</v>
      </c>
      <c r="D73" s="1066" t="s">
        <v>85</v>
      </c>
      <c r="E73" s="946">
        <v>26.36</v>
      </c>
      <c r="F73" s="946">
        <f t="shared" si="21"/>
        <v>30287.64</v>
      </c>
      <c r="G73" s="946">
        <v>3.3</v>
      </c>
      <c r="H73" s="947">
        <f t="shared" si="22"/>
        <v>3791.7</v>
      </c>
      <c r="I73" s="947">
        <f t="shared" si="23"/>
        <v>34079.339999999997</v>
      </c>
      <c r="J73" s="1066"/>
      <c r="AA73" s="459">
        <f t="shared" si="2"/>
        <v>0</v>
      </c>
      <c r="AB73" s="459">
        <f t="shared" si="2"/>
        <v>0</v>
      </c>
    </row>
    <row r="74" spans="1:28" s="344" customFormat="1" ht="26.25" customHeight="1">
      <c r="A74" s="436" t="s">
        <v>1886</v>
      </c>
      <c r="B74" s="995" t="s">
        <v>570</v>
      </c>
      <c r="C74" s="549">
        <f>C75*0.025*35.31</f>
        <v>65.32350000000001</v>
      </c>
      <c r="D74" s="1066" t="s">
        <v>598</v>
      </c>
      <c r="E74" s="946">
        <f>VLOOKUP(B74,$O$2:$Q$13,2,0)</f>
        <v>400</v>
      </c>
      <c r="F74" s="946">
        <f t="shared" si="21"/>
        <v>26129.400000000005</v>
      </c>
      <c r="G74" s="946">
        <f>VLOOKUP(B74,$O$2:$Q$13,3,0)</f>
        <v>0</v>
      </c>
      <c r="H74" s="947">
        <f t="shared" si="22"/>
        <v>0</v>
      </c>
      <c r="I74" s="947">
        <f t="shared" si="23"/>
        <v>26129.400000000005</v>
      </c>
      <c r="J74" s="1066"/>
      <c r="K74" s="462"/>
      <c r="AA74" s="459">
        <f t="shared" si="2"/>
        <v>0</v>
      </c>
      <c r="AB74" s="459">
        <f t="shared" si="2"/>
        <v>0</v>
      </c>
    </row>
    <row r="75" spans="1:28" s="344" customFormat="1" ht="26.25" customHeight="1">
      <c r="A75" s="436" t="s">
        <v>1887</v>
      </c>
      <c r="B75" s="995" t="s">
        <v>1036</v>
      </c>
      <c r="C75" s="549">
        <v>74</v>
      </c>
      <c r="D75" s="1066" t="s">
        <v>278</v>
      </c>
      <c r="E75" s="946">
        <f>VLOOKUP(B75,$O$2:$Q$13,2,0)</f>
        <v>0</v>
      </c>
      <c r="F75" s="946">
        <f t="shared" si="21"/>
        <v>0</v>
      </c>
      <c r="G75" s="946">
        <f>VLOOKUP(B75,$O$2:$Q$13,3,0)</f>
        <v>133</v>
      </c>
      <c r="H75" s="947">
        <f t="shared" si="22"/>
        <v>9842</v>
      </c>
      <c r="I75" s="947">
        <f t="shared" si="23"/>
        <v>9842</v>
      </c>
      <c r="J75" s="1066"/>
      <c r="K75" s="462"/>
      <c r="AA75" s="459">
        <f t="shared" si="2"/>
        <v>74</v>
      </c>
      <c r="AB75" s="459">
        <f t="shared" si="2"/>
        <v>0</v>
      </c>
    </row>
    <row r="76" spans="1:28" s="344" customFormat="1" ht="26.25" customHeight="1">
      <c r="A76" s="436" t="s">
        <v>1888</v>
      </c>
      <c r="B76" s="995" t="s">
        <v>571</v>
      </c>
      <c r="C76" s="549">
        <v>8</v>
      </c>
      <c r="D76" s="1066" t="s">
        <v>598</v>
      </c>
      <c r="E76" s="946">
        <f>VLOOKUP(B76,$O$2:$Q$13,2,0)</f>
        <v>400</v>
      </c>
      <c r="F76" s="946">
        <f t="shared" si="21"/>
        <v>3200</v>
      </c>
      <c r="G76" s="946">
        <f>VLOOKUP(B76,$O$2:$Q$13,3,0)</f>
        <v>0</v>
      </c>
      <c r="H76" s="947">
        <f t="shared" si="22"/>
        <v>0</v>
      </c>
      <c r="I76" s="947">
        <f t="shared" si="23"/>
        <v>3200</v>
      </c>
      <c r="J76" s="1066"/>
      <c r="AA76" s="459">
        <f t="shared" si="2"/>
        <v>0</v>
      </c>
      <c r="AB76" s="459">
        <f t="shared" si="2"/>
        <v>0</v>
      </c>
    </row>
    <row r="77" spans="1:28" s="344" customFormat="1" ht="26.25" customHeight="1">
      <c r="A77" s="436" t="s">
        <v>1889</v>
      </c>
      <c r="B77" s="995" t="s">
        <v>572</v>
      </c>
      <c r="C77" s="1058">
        <v>15</v>
      </c>
      <c r="D77" s="1066" t="s">
        <v>85</v>
      </c>
      <c r="E77" s="946">
        <f>VLOOKUP(B77,$O$2:$Q$13,2,0)</f>
        <v>56.78</v>
      </c>
      <c r="F77" s="946">
        <f t="shared" si="21"/>
        <v>851.7</v>
      </c>
      <c r="G77" s="946">
        <f>VLOOKUP(B77,$O$2:$Q$13,3,0)</f>
        <v>0</v>
      </c>
      <c r="H77" s="947">
        <f t="shared" si="22"/>
        <v>0</v>
      </c>
      <c r="I77" s="947">
        <f t="shared" si="23"/>
        <v>851.7</v>
      </c>
      <c r="J77" s="1066"/>
      <c r="AA77" s="459">
        <f t="shared" si="2"/>
        <v>0</v>
      </c>
      <c r="AB77" s="459">
        <f t="shared" si="2"/>
        <v>0</v>
      </c>
    </row>
    <row r="78" spans="1:28" s="344" customFormat="1" ht="26.25" customHeight="1">
      <c r="A78" s="436" t="s">
        <v>1890</v>
      </c>
      <c r="B78" s="995" t="s">
        <v>573</v>
      </c>
      <c r="C78" s="1058">
        <v>37</v>
      </c>
      <c r="D78" s="1066" t="s">
        <v>85</v>
      </c>
      <c r="E78" s="946">
        <v>33</v>
      </c>
      <c r="F78" s="946">
        <f t="shared" si="21"/>
        <v>1221</v>
      </c>
      <c r="G78" s="946">
        <f>VLOOKUP(B78,$O$2:$Q$13,3,0)</f>
        <v>0</v>
      </c>
      <c r="H78" s="947">
        <f t="shared" si="22"/>
        <v>0</v>
      </c>
      <c r="I78" s="947">
        <f t="shared" si="23"/>
        <v>1221</v>
      </c>
      <c r="J78" s="1066"/>
      <c r="AA78" s="459">
        <f t="shared" si="2"/>
        <v>0</v>
      </c>
      <c r="AB78" s="459">
        <f t="shared" si="2"/>
        <v>0</v>
      </c>
    </row>
    <row r="79" spans="1:28" s="344" customFormat="1" ht="26.25" customHeight="1">
      <c r="A79" s="1097"/>
      <c r="B79" s="563" t="s">
        <v>1320</v>
      </c>
      <c r="C79" s="1090"/>
      <c r="D79" s="1089"/>
      <c r="E79" s="1091"/>
      <c r="F79" s="1091"/>
      <c r="G79" s="1091"/>
      <c r="H79" s="1092"/>
      <c r="I79" s="1093">
        <f>SUM(I71:I78)</f>
        <v>94451.4</v>
      </c>
      <c r="J79" s="1089"/>
      <c r="AA79" s="459"/>
      <c r="AB79" s="459"/>
    </row>
    <row r="80" spans="1:28" s="344" customFormat="1" ht="26.25" customHeight="1">
      <c r="A80" s="1084" t="s">
        <v>1116</v>
      </c>
      <c r="B80" s="1085" t="s">
        <v>159</v>
      </c>
      <c r="C80" s="1086"/>
      <c r="D80" s="1084"/>
      <c r="E80" s="1087"/>
      <c r="F80" s="1088"/>
      <c r="G80" s="1087"/>
      <c r="H80" s="1088"/>
      <c r="I80" s="1088"/>
      <c r="J80" s="1084"/>
      <c r="AA80" s="459">
        <f t="shared" si="2"/>
        <v>0</v>
      </c>
      <c r="AB80" s="459">
        <f t="shared" si="2"/>
        <v>0</v>
      </c>
    </row>
    <row r="81" spans="1:28" s="344" customFormat="1" ht="26.25" customHeight="1">
      <c r="A81" s="1066" t="s">
        <v>1891</v>
      </c>
      <c r="B81" s="995" t="s">
        <v>567</v>
      </c>
      <c r="C81" s="1058">
        <v>2</v>
      </c>
      <c r="D81" s="1066" t="s">
        <v>545</v>
      </c>
      <c r="E81" s="946">
        <v>2420</v>
      </c>
      <c r="F81" s="946">
        <f t="shared" ref="F81:F88" si="24">E81*C81</f>
        <v>4840</v>
      </c>
      <c r="G81" s="946">
        <v>306</v>
      </c>
      <c r="H81" s="947">
        <f t="shared" ref="H81:H88" si="25">G81*C81</f>
        <v>612</v>
      </c>
      <c r="I81" s="947">
        <f t="shared" ref="I81:I88" si="26">H81+F81</f>
        <v>5452</v>
      </c>
      <c r="J81" s="1066"/>
      <c r="AA81" s="459">
        <f t="shared" si="2"/>
        <v>0</v>
      </c>
      <c r="AB81" s="459">
        <f t="shared" si="2"/>
        <v>0</v>
      </c>
    </row>
    <row r="82" spans="1:28" s="344" customFormat="1" ht="26.25" customHeight="1">
      <c r="A82" s="1066" t="s">
        <v>1892</v>
      </c>
      <c r="B82" s="995" t="s">
        <v>576</v>
      </c>
      <c r="C82" s="1058">
        <v>22</v>
      </c>
      <c r="D82" s="1066" t="s">
        <v>85</v>
      </c>
      <c r="E82" s="946">
        <v>26.03</v>
      </c>
      <c r="F82" s="946">
        <f t="shared" si="24"/>
        <v>572.66000000000008</v>
      </c>
      <c r="G82" s="946">
        <v>4.0999999999999996</v>
      </c>
      <c r="H82" s="947">
        <f t="shared" si="25"/>
        <v>90.199999999999989</v>
      </c>
      <c r="I82" s="947">
        <f t="shared" si="26"/>
        <v>662.86000000000013</v>
      </c>
      <c r="J82" s="1066"/>
      <c r="AA82" s="459">
        <f t="shared" si="2"/>
        <v>0</v>
      </c>
      <c r="AB82" s="459">
        <f t="shared" si="2"/>
        <v>0</v>
      </c>
    </row>
    <row r="83" spans="1:28" s="344" customFormat="1" ht="26.25" customHeight="1">
      <c r="A83" s="1066" t="s">
        <v>1893</v>
      </c>
      <c r="B83" s="995" t="s">
        <v>574</v>
      </c>
      <c r="C83" s="549">
        <v>280</v>
      </c>
      <c r="D83" s="1066" t="s">
        <v>85</v>
      </c>
      <c r="E83" s="946">
        <v>26.36</v>
      </c>
      <c r="F83" s="946">
        <f t="shared" si="24"/>
        <v>7380.8</v>
      </c>
      <c r="G83" s="946">
        <v>3.3</v>
      </c>
      <c r="H83" s="947">
        <f t="shared" si="25"/>
        <v>924</v>
      </c>
      <c r="I83" s="947">
        <f t="shared" si="26"/>
        <v>8304.7999999999993</v>
      </c>
      <c r="J83" s="1066"/>
      <c r="AA83" s="459">
        <f t="shared" si="2"/>
        <v>0</v>
      </c>
      <c r="AB83" s="459">
        <f t="shared" si="2"/>
        <v>0</v>
      </c>
    </row>
    <row r="84" spans="1:28" s="344" customFormat="1" ht="26.25" customHeight="1">
      <c r="A84" s="1066" t="s">
        <v>1894</v>
      </c>
      <c r="B84" s="995" t="s">
        <v>570</v>
      </c>
      <c r="C84" s="549">
        <f>C85*0.025*35.31</f>
        <v>15.889500000000002</v>
      </c>
      <c r="D84" s="1066" t="s">
        <v>598</v>
      </c>
      <c r="E84" s="946">
        <v>400</v>
      </c>
      <c r="F84" s="946">
        <f t="shared" si="24"/>
        <v>6355.8000000000011</v>
      </c>
      <c r="G84" s="946">
        <f>VLOOKUP(B84,$O$2:$Q$13,3,0)</f>
        <v>0</v>
      </c>
      <c r="H84" s="947">
        <f t="shared" si="25"/>
        <v>0</v>
      </c>
      <c r="I84" s="947">
        <f t="shared" si="26"/>
        <v>6355.8000000000011</v>
      </c>
      <c r="J84" s="1066"/>
      <c r="AA84" s="459">
        <f t="shared" si="2"/>
        <v>0</v>
      </c>
      <c r="AB84" s="459">
        <f t="shared" si="2"/>
        <v>0</v>
      </c>
    </row>
    <row r="85" spans="1:28" s="344" customFormat="1" ht="26.25" customHeight="1">
      <c r="A85" s="1066" t="s">
        <v>1895</v>
      </c>
      <c r="B85" s="995" t="s">
        <v>1036</v>
      </c>
      <c r="C85" s="549">
        <v>18</v>
      </c>
      <c r="D85" s="1066" t="s">
        <v>278</v>
      </c>
      <c r="E85" s="946">
        <f>VLOOKUP(B85,$O$2:$Q$13,2,0)</f>
        <v>0</v>
      </c>
      <c r="F85" s="946">
        <f t="shared" si="24"/>
        <v>0</v>
      </c>
      <c r="G85" s="946">
        <f>VLOOKUP(B85,$O$2:$Q$13,3,0)</f>
        <v>133</v>
      </c>
      <c r="H85" s="947">
        <f t="shared" si="25"/>
        <v>2394</v>
      </c>
      <c r="I85" s="947">
        <f t="shared" si="26"/>
        <v>2394</v>
      </c>
      <c r="J85" s="1066"/>
      <c r="AA85" s="459">
        <f t="shared" si="2"/>
        <v>18</v>
      </c>
      <c r="AB85" s="459">
        <f t="shared" si="2"/>
        <v>0</v>
      </c>
    </row>
    <row r="86" spans="1:28" s="344" customFormat="1" ht="26.25" customHeight="1">
      <c r="A86" s="1066" t="s">
        <v>1896</v>
      </c>
      <c r="B86" s="995" t="s">
        <v>571</v>
      </c>
      <c r="C86" s="549">
        <v>2</v>
      </c>
      <c r="D86" s="1066" t="s">
        <v>598</v>
      </c>
      <c r="E86" s="946">
        <f>VLOOKUP(B86,$O$2:$Q$13,2,0)</f>
        <v>400</v>
      </c>
      <c r="F86" s="946">
        <f t="shared" si="24"/>
        <v>800</v>
      </c>
      <c r="G86" s="946">
        <f>VLOOKUP(B86,$O$2:$Q$13,3,0)</f>
        <v>0</v>
      </c>
      <c r="H86" s="947">
        <f t="shared" si="25"/>
        <v>0</v>
      </c>
      <c r="I86" s="947">
        <f t="shared" si="26"/>
        <v>800</v>
      </c>
      <c r="J86" s="1066"/>
      <c r="AA86" s="459">
        <f t="shared" si="2"/>
        <v>0</v>
      </c>
      <c r="AB86" s="459">
        <f t="shared" si="2"/>
        <v>0</v>
      </c>
    </row>
    <row r="87" spans="1:28" s="344" customFormat="1" ht="26.25" customHeight="1">
      <c r="A87" s="1066" t="s">
        <v>1897</v>
      </c>
      <c r="B87" s="995" t="s">
        <v>572</v>
      </c>
      <c r="C87" s="1058">
        <v>4</v>
      </c>
      <c r="D87" s="1066" t="s">
        <v>85</v>
      </c>
      <c r="E87" s="946">
        <f>VLOOKUP(B87,$O$2:$Q$13,2,0)</f>
        <v>56.78</v>
      </c>
      <c r="F87" s="946">
        <f t="shared" si="24"/>
        <v>227.12</v>
      </c>
      <c r="G87" s="946">
        <f>VLOOKUP(B87,$O$2:$Q$13,3,0)</f>
        <v>0</v>
      </c>
      <c r="H87" s="947">
        <f t="shared" si="25"/>
        <v>0</v>
      </c>
      <c r="I87" s="947">
        <f t="shared" si="26"/>
        <v>227.12</v>
      </c>
      <c r="J87" s="1066"/>
      <c r="AA87" s="459">
        <f t="shared" si="2"/>
        <v>0</v>
      </c>
      <c r="AB87" s="459">
        <f t="shared" si="2"/>
        <v>0</v>
      </c>
    </row>
    <row r="88" spans="1:28" s="344" customFormat="1" ht="26.25" customHeight="1">
      <c r="A88" s="1066" t="s">
        <v>1898</v>
      </c>
      <c r="B88" s="995" t="s">
        <v>573</v>
      </c>
      <c r="C88" s="1058">
        <v>9</v>
      </c>
      <c r="D88" s="1066" t="s">
        <v>85</v>
      </c>
      <c r="E88" s="946">
        <v>33</v>
      </c>
      <c r="F88" s="946">
        <f t="shared" si="24"/>
        <v>297</v>
      </c>
      <c r="G88" s="946">
        <f>VLOOKUP(B88,$O$2:$Q$13,3,0)</f>
        <v>0</v>
      </c>
      <c r="H88" s="947">
        <f t="shared" si="25"/>
        <v>0</v>
      </c>
      <c r="I88" s="947">
        <f t="shared" si="26"/>
        <v>297</v>
      </c>
      <c r="J88" s="1066"/>
      <c r="AA88" s="459">
        <f t="shared" si="2"/>
        <v>0</v>
      </c>
      <c r="AB88" s="459">
        <f t="shared" si="2"/>
        <v>0</v>
      </c>
    </row>
    <row r="89" spans="1:28" s="344" customFormat="1" ht="26.25" customHeight="1">
      <c r="A89" s="1089"/>
      <c r="B89" s="563" t="s">
        <v>1321</v>
      </c>
      <c r="C89" s="1090"/>
      <c r="D89" s="1089"/>
      <c r="E89" s="1091"/>
      <c r="F89" s="1091"/>
      <c r="G89" s="1091"/>
      <c r="H89" s="1092"/>
      <c r="I89" s="1093">
        <f>SUM(I81:I88)</f>
        <v>24493.579999999998</v>
      </c>
      <c r="J89" s="1089"/>
      <c r="AA89" s="459"/>
      <c r="AB89" s="459"/>
    </row>
    <row r="90" spans="1:28" s="344" customFormat="1" ht="26.25" customHeight="1">
      <c r="A90" s="1084" t="s">
        <v>1117</v>
      </c>
      <c r="B90" s="1085" t="s">
        <v>160</v>
      </c>
      <c r="C90" s="1086"/>
      <c r="D90" s="1084"/>
      <c r="E90" s="1087"/>
      <c r="F90" s="1088"/>
      <c r="G90" s="1087"/>
      <c r="H90" s="1088"/>
      <c r="I90" s="1088"/>
      <c r="J90" s="1084"/>
      <c r="AA90" s="459">
        <f t="shared" si="2"/>
        <v>0</v>
      </c>
      <c r="AB90" s="459">
        <f t="shared" si="2"/>
        <v>0</v>
      </c>
    </row>
    <row r="91" spans="1:28" s="344" customFormat="1" ht="26.25" customHeight="1">
      <c r="A91" s="1066" t="s">
        <v>1899</v>
      </c>
      <c r="B91" s="995" t="s">
        <v>567</v>
      </c>
      <c r="C91" s="1058">
        <v>1</v>
      </c>
      <c r="D91" s="1066" t="s">
        <v>545</v>
      </c>
      <c r="E91" s="946">
        <v>2420</v>
      </c>
      <c r="F91" s="946">
        <f t="shared" ref="F91:F98" si="27">E91*C91</f>
        <v>2420</v>
      </c>
      <c r="G91" s="946">
        <v>306</v>
      </c>
      <c r="H91" s="947">
        <f t="shared" ref="H91:H98" si="28">G91*C91</f>
        <v>306</v>
      </c>
      <c r="I91" s="947">
        <f t="shared" ref="I91:I98" si="29">H91+F91</f>
        <v>2726</v>
      </c>
      <c r="J91" s="1066"/>
      <c r="AA91" s="459">
        <f t="shared" si="2"/>
        <v>0</v>
      </c>
      <c r="AB91" s="459">
        <f t="shared" si="2"/>
        <v>0</v>
      </c>
    </row>
    <row r="92" spans="1:28" s="344" customFormat="1" ht="26.25" customHeight="1">
      <c r="A92" s="1066" t="s">
        <v>1900</v>
      </c>
      <c r="B92" s="995" t="s">
        <v>576</v>
      </c>
      <c r="C92" s="1058">
        <v>16</v>
      </c>
      <c r="D92" s="1066" t="s">
        <v>85</v>
      </c>
      <c r="E92" s="946">
        <v>26.03</v>
      </c>
      <c r="F92" s="946">
        <f t="shared" si="27"/>
        <v>416.48</v>
      </c>
      <c r="G92" s="946">
        <v>4.0999999999999996</v>
      </c>
      <c r="H92" s="947">
        <f t="shared" si="28"/>
        <v>65.599999999999994</v>
      </c>
      <c r="I92" s="947">
        <f t="shared" si="29"/>
        <v>482.08000000000004</v>
      </c>
      <c r="J92" s="1066"/>
      <c r="AA92" s="459">
        <f t="shared" si="2"/>
        <v>0</v>
      </c>
      <c r="AB92" s="459">
        <f t="shared" si="2"/>
        <v>0</v>
      </c>
    </row>
    <row r="93" spans="1:28" s="344" customFormat="1" ht="26.25" customHeight="1">
      <c r="A93" s="1066" t="s">
        <v>1901</v>
      </c>
      <c r="B93" s="995" t="s">
        <v>574</v>
      </c>
      <c r="C93" s="549">
        <v>196</v>
      </c>
      <c r="D93" s="1066" t="s">
        <v>85</v>
      </c>
      <c r="E93" s="946">
        <v>26.36</v>
      </c>
      <c r="F93" s="946">
        <f t="shared" si="27"/>
        <v>5166.5599999999995</v>
      </c>
      <c r="G93" s="946">
        <v>3.3</v>
      </c>
      <c r="H93" s="947">
        <f t="shared" si="28"/>
        <v>646.79999999999995</v>
      </c>
      <c r="I93" s="947">
        <f t="shared" si="29"/>
        <v>5813.36</v>
      </c>
      <c r="J93" s="1066"/>
      <c r="AA93" s="459">
        <f t="shared" si="2"/>
        <v>0</v>
      </c>
      <c r="AB93" s="459">
        <f t="shared" si="2"/>
        <v>0</v>
      </c>
    </row>
    <row r="94" spans="1:28" s="344" customFormat="1" ht="26.25" customHeight="1">
      <c r="A94" s="1066" t="s">
        <v>1902</v>
      </c>
      <c r="B94" s="995" t="s">
        <v>570</v>
      </c>
      <c r="C94" s="549">
        <f>C95*0.025*35.31</f>
        <v>10.593000000000002</v>
      </c>
      <c r="D94" s="1066" t="s">
        <v>598</v>
      </c>
      <c r="E94" s="946">
        <f>VLOOKUP(B94,$O$2:$Q$13,2,0)</f>
        <v>400</v>
      </c>
      <c r="F94" s="946">
        <f t="shared" si="27"/>
        <v>4237.2000000000007</v>
      </c>
      <c r="G94" s="946">
        <f>VLOOKUP(B94,$O$2:$Q$13,3,0)</f>
        <v>0</v>
      </c>
      <c r="H94" s="947">
        <f t="shared" si="28"/>
        <v>0</v>
      </c>
      <c r="I94" s="947">
        <f t="shared" si="29"/>
        <v>4237.2000000000007</v>
      </c>
      <c r="J94" s="1066"/>
      <c r="AA94" s="459">
        <f t="shared" si="2"/>
        <v>0</v>
      </c>
      <c r="AB94" s="459">
        <f t="shared" si="2"/>
        <v>0</v>
      </c>
    </row>
    <row r="95" spans="1:28" s="344" customFormat="1" ht="26.25" customHeight="1">
      <c r="A95" s="1066" t="s">
        <v>1903</v>
      </c>
      <c r="B95" s="995" t="s">
        <v>1036</v>
      </c>
      <c r="C95" s="549">
        <v>12</v>
      </c>
      <c r="D95" s="1066" t="s">
        <v>278</v>
      </c>
      <c r="E95" s="946">
        <f>VLOOKUP(B95,$O$2:$Q$13,2,0)</f>
        <v>0</v>
      </c>
      <c r="F95" s="946">
        <f t="shared" si="27"/>
        <v>0</v>
      </c>
      <c r="G95" s="946">
        <f>VLOOKUP(B95,$O$2:$Q$13,3,0)</f>
        <v>133</v>
      </c>
      <c r="H95" s="947">
        <f t="shared" si="28"/>
        <v>1596</v>
      </c>
      <c r="I95" s="947">
        <f t="shared" si="29"/>
        <v>1596</v>
      </c>
      <c r="J95" s="1066"/>
      <c r="AA95" s="459">
        <f t="shared" si="2"/>
        <v>12</v>
      </c>
      <c r="AB95" s="459">
        <f t="shared" si="2"/>
        <v>0</v>
      </c>
    </row>
    <row r="96" spans="1:28" s="344" customFormat="1" ht="26.25" customHeight="1">
      <c r="A96" s="1066" t="s">
        <v>1904</v>
      </c>
      <c r="B96" s="995" t="s">
        <v>571</v>
      </c>
      <c r="C96" s="549">
        <v>2</v>
      </c>
      <c r="D96" s="1066" t="s">
        <v>598</v>
      </c>
      <c r="E96" s="946">
        <f>VLOOKUP(B96,$O$2:$Q$13,2,0)</f>
        <v>400</v>
      </c>
      <c r="F96" s="946">
        <f t="shared" si="27"/>
        <v>800</v>
      </c>
      <c r="G96" s="946">
        <f>VLOOKUP(B96,$O$2:$Q$13,3,0)</f>
        <v>0</v>
      </c>
      <c r="H96" s="947">
        <f t="shared" si="28"/>
        <v>0</v>
      </c>
      <c r="I96" s="947">
        <f t="shared" si="29"/>
        <v>800</v>
      </c>
      <c r="J96" s="1066"/>
      <c r="AA96" s="459">
        <f t="shared" ref="AA96:AB174" si="30">IF($B96=AA$1,$C96,0)</f>
        <v>0</v>
      </c>
      <c r="AB96" s="459">
        <f t="shared" si="30"/>
        <v>0</v>
      </c>
    </row>
    <row r="97" spans="1:28" s="344" customFormat="1" ht="26.25" customHeight="1">
      <c r="A97" s="1066" t="s">
        <v>1905</v>
      </c>
      <c r="B97" s="995" t="s">
        <v>572</v>
      </c>
      <c r="C97" s="1058">
        <v>2</v>
      </c>
      <c r="D97" s="1066" t="s">
        <v>85</v>
      </c>
      <c r="E97" s="946">
        <f>VLOOKUP(B97,$O$2:$Q$13,2,0)</f>
        <v>56.78</v>
      </c>
      <c r="F97" s="946">
        <f t="shared" si="27"/>
        <v>113.56</v>
      </c>
      <c r="G97" s="946">
        <f>VLOOKUP(B97,$O$2:$Q$13,3,0)</f>
        <v>0</v>
      </c>
      <c r="H97" s="947">
        <f t="shared" si="28"/>
        <v>0</v>
      </c>
      <c r="I97" s="947">
        <f t="shared" si="29"/>
        <v>113.56</v>
      </c>
      <c r="J97" s="1066"/>
      <c r="AA97" s="459">
        <f t="shared" si="30"/>
        <v>0</v>
      </c>
      <c r="AB97" s="459">
        <f t="shared" si="30"/>
        <v>0</v>
      </c>
    </row>
    <row r="98" spans="1:28" s="344" customFormat="1" ht="26.25" customHeight="1">
      <c r="A98" s="1066" t="s">
        <v>1906</v>
      </c>
      <c r="B98" s="995" t="s">
        <v>573</v>
      </c>
      <c r="C98" s="1058">
        <v>7</v>
      </c>
      <c r="D98" s="1066" t="s">
        <v>85</v>
      </c>
      <c r="E98" s="946">
        <v>33</v>
      </c>
      <c r="F98" s="946">
        <f t="shared" si="27"/>
        <v>231</v>
      </c>
      <c r="G98" s="946">
        <f>VLOOKUP(B98,$O$2:$Q$13,3,0)</f>
        <v>0</v>
      </c>
      <c r="H98" s="947">
        <f t="shared" si="28"/>
        <v>0</v>
      </c>
      <c r="I98" s="947">
        <f t="shared" si="29"/>
        <v>231</v>
      </c>
      <c r="J98" s="1066"/>
      <c r="AA98" s="459">
        <f t="shared" si="30"/>
        <v>0</v>
      </c>
      <c r="AB98" s="459">
        <f t="shared" si="30"/>
        <v>0</v>
      </c>
    </row>
    <row r="99" spans="1:28" s="344" customFormat="1" ht="26.25" customHeight="1">
      <c r="A99" s="1089"/>
      <c r="B99" s="563" t="s">
        <v>1322</v>
      </c>
      <c r="C99" s="1090"/>
      <c r="D99" s="1089"/>
      <c r="E99" s="1091"/>
      <c r="F99" s="1091"/>
      <c r="G99" s="1091"/>
      <c r="H99" s="1092"/>
      <c r="I99" s="1093">
        <f>SUM(I91:I98)</f>
        <v>15999.199999999999</v>
      </c>
      <c r="J99" s="1089"/>
      <c r="AA99" s="459"/>
      <c r="AB99" s="459"/>
    </row>
    <row r="100" spans="1:28" s="344" customFormat="1" ht="26.25" customHeight="1">
      <c r="A100" s="1084" t="s">
        <v>1118</v>
      </c>
      <c r="B100" s="1085" t="s">
        <v>161</v>
      </c>
      <c r="C100" s="1086"/>
      <c r="D100" s="1084"/>
      <c r="E100" s="1087"/>
      <c r="F100" s="1088"/>
      <c r="G100" s="1087"/>
      <c r="H100" s="1088"/>
      <c r="I100" s="1088"/>
      <c r="J100" s="1084"/>
      <c r="AA100" s="459">
        <f t="shared" si="30"/>
        <v>0</v>
      </c>
      <c r="AB100" s="459">
        <f t="shared" si="30"/>
        <v>0</v>
      </c>
    </row>
    <row r="101" spans="1:28" s="344" customFormat="1" ht="26.25" customHeight="1">
      <c r="A101" s="1066" t="s">
        <v>1907</v>
      </c>
      <c r="B101" s="995" t="s">
        <v>567</v>
      </c>
      <c r="C101" s="1058">
        <v>1</v>
      </c>
      <c r="D101" s="1066" t="s">
        <v>545</v>
      </c>
      <c r="E101" s="946">
        <v>2420</v>
      </c>
      <c r="F101" s="946">
        <f t="shared" ref="F101:F108" si="31">E101*C101</f>
        <v>2420</v>
      </c>
      <c r="G101" s="946">
        <v>306</v>
      </c>
      <c r="H101" s="947">
        <f t="shared" ref="H101:H108" si="32">G101*C101</f>
        <v>306</v>
      </c>
      <c r="I101" s="947">
        <f t="shared" ref="I101:I108" si="33">H101+F101</f>
        <v>2726</v>
      </c>
      <c r="J101" s="1066"/>
      <c r="AA101" s="459">
        <f t="shared" si="30"/>
        <v>0</v>
      </c>
      <c r="AB101" s="459">
        <f t="shared" si="30"/>
        <v>0</v>
      </c>
    </row>
    <row r="102" spans="1:28" s="344" customFormat="1" ht="26.25" customHeight="1">
      <c r="A102" s="1066" t="s">
        <v>1908</v>
      </c>
      <c r="B102" s="995" t="s">
        <v>576</v>
      </c>
      <c r="C102" s="1058">
        <v>5</v>
      </c>
      <c r="D102" s="1066" t="s">
        <v>85</v>
      </c>
      <c r="E102" s="946">
        <v>26.03</v>
      </c>
      <c r="F102" s="946">
        <f t="shared" si="31"/>
        <v>130.15</v>
      </c>
      <c r="G102" s="946">
        <v>4.0999999999999996</v>
      </c>
      <c r="H102" s="947">
        <f t="shared" si="32"/>
        <v>20.5</v>
      </c>
      <c r="I102" s="947">
        <f t="shared" si="33"/>
        <v>150.65</v>
      </c>
      <c r="J102" s="1066"/>
      <c r="AA102" s="459">
        <f t="shared" si="30"/>
        <v>0</v>
      </c>
      <c r="AB102" s="459">
        <f t="shared" si="30"/>
        <v>0</v>
      </c>
    </row>
    <row r="103" spans="1:28" s="344" customFormat="1" ht="26.25" customHeight="1">
      <c r="A103" s="1066" t="s">
        <v>1909</v>
      </c>
      <c r="B103" s="995" t="s">
        <v>574</v>
      </c>
      <c r="C103" s="549">
        <v>70</v>
      </c>
      <c r="D103" s="1066" t="s">
        <v>85</v>
      </c>
      <c r="E103" s="946">
        <v>26.36</v>
      </c>
      <c r="F103" s="946">
        <f>C103*E103</f>
        <v>1845.2</v>
      </c>
      <c r="G103" s="946">
        <v>3.3</v>
      </c>
      <c r="H103" s="947">
        <f t="shared" si="32"/>
        <v>231</v>
      </c>
      <c r="I103" s="947">
        <f t="shared" si="33"/>
        <v>2076.1999999999998</v>
      </c>
      <c r="J103" s="1066"/>
      <c r="AA103" s="459">
        <f t="shared" si="30"/>
        <v>0</v>
      </c>
      <c r="AB103" s="459">
        <f t="shared" si="30"/>
        <v>0</v>
      </c>
    </row>
    <row r="104" spans="1:28" s="344" customFormat="1" ht="26.25" customHeight="1">
      <c r="A104" s="1066" t="s">
        <v>1910</v>
      </c>
      <c r="B104" s="995" t="s">
        <v>570</v>
      </c>
      <c r="C104" s="549">
        <f>C105*0.025*35.31</f>
        <v>4.4137500000000003</v>
      </c>
      <c r="D104" s="1066" t="s">
        <v>598</v>
      </c>
      <c r="E104" s="946">
        <f>VLOOKUP(B104,$O$2:$Q$13,2,0)</f>
        <v>400</v>
      </c>
      <c r="F104" s="946">
        <f t="shared" si="31"/>
        <v>1765.5</v>
      </c>
      <c r="G104" s="946">
        <f>VLOOKUP(B104,$O$2:$Q$13,3,0)</f>
        <v>0</v>
      </c>
      <c r="H104" s="947">
        <f t="shared" si="32"/>
        <v>0</v>
      </c>
      <c r="I104" s="947">
        <f t="shared" si="33"/>
        <v>1765.5</v>
      </c>
      <c r="J104" s="1066"/>
      <c r="AA104" s="459">
        <f t="shared" si="30"/>
        <v>0</v>
      </c>
      <c r="AB104" s="459">
        <f t="shared" si="30"/>
        <v>0</v>
      </c>
    </row>
    <row r="105" spans="1:28" s="344" customFormat="1" ht="26.25" customHeight="1">
      <c r="A105" s="1066" t="s">
        <v>1911</v>
      </c>
      <c r="B105" s="995" t="s">
        <v>1036</v>
      </c>
      <c r="C105" s="549">
        <v>5</v>
      </c>
      <c r="D105" s="1066" t="s">
        <v>278</v>
      </c>
      <c r="E105" s="946">
        <f>VLOOKUP(B105,$O$2:$Q$13,2,0)</f>
        <v>0</v>
      </c>
      <c r="F105" s="946">
        <f t="shared" si="31"/>
        <v>0</v>
      </c>
      <c r="G105" s="946">
        <f>VLOOKUP(B105,$O$2:$Q$13,3,0)</f>
        <v>133</v>
      </c>
      <c r="H105" s="947">
        <f t="shared" si="32"/>
        <v>665</v>
      </c>
      <c r="I105" s="947">
        <f t="shared" si="33"/>
        <v>665</v>
      </c>
      <c r="J105" s="1066"/>
      <c r="AA105" s="459">
        <f t="shared" si="30"/>
        <v>5</v>
      </c>
      <c r="AB105" s="459">
        <f t="shared" si="30"/>
        <v>0</v>
      </c>
    </row>
    <row r="106" spans="1:28" s="344" customFormat="1" ht="26.25" customHeight="1">
      <c r="A106" s="1066" t="s">
        <v>1912</v>
      </c>
      <c r="B106" s="995" t="s">
        <v>571</v>
      </c>
      <c r="C106" s="549">
        <v>1</v>
      </c>
      <c r="D106" s="1066" t="s">
        <v>598</v>
      </c>
      <c r="E106" s="946">
        <f>VLOOKUP(B106,$O$2:$Q$13,2,0)</f>
        <v>400</v>
      </c>
      <c r="F106" s="946">
        <f t="shared" si="31"/>
        <v>400</v>
      </c>
      <c r="G106" s="946">
        <f>VLOOKUP(B106,$O$2:$Q$13,3,0)</f>
        <v>0</v>
      </c>
      <c r="H106" s="947">
        <f t="shared" si="32"/>
        <v>0</v>
      </c>
      <c r="I106" s="947">
        <f t="shared" si="33"/>
        <v>400</v>
      </c>
      <c r="J106" s="1066"/>
      <c r="AA106" s="459">
        <f t="shared" si="30"/>
        <v>0</v>
      </c>
      <c r="AB106" s="459">
        <f t="shared" si="30"/>
        <v>0</v>
      </c>
    </row>
    <row r="107" spans="1:28" s="344" customFormat="1" ht="26.25" customHeight="1">
      <c r="A107" s="1066" t="s">
        <v>1913</v>
      </c>
      <c r="B107" s="995" t="s">
        <v>572</v>
      </c>
      <c r="C107" s="1058">
        <v>1</v>
      </c>
      <c r="D107" s="1066" t="s">
        <v>85</v>
      </c>
      <c r="E107" s="946">
        <f>VLOOKUP(B107,$O$2:$Q$13,2,0)</f>
        <v>56.78</v>
      </c>
      <c r="F107" s="946">
        <f t="shared" si="31"/>
        <v>56.78</v>
      </c>
      <c r="G107" s="946">
        <f>VLOOKUP(B107,$O$2:$Q$13,3,0)</f>
        <v>0</v>
      </c>
      <c r="H107" s="947">
        <f t="shared" si="32"/>
        <v>0</v>
      </c>
      <c r="I107" s="947">
        <f t="shared" si="33"/>
        <v>56.78</v>
      </c>
      <c r="J107" s="1066"/>
      <c r="AA107" s="459">
        <f t="shared" si="30"/>
        <v>0</v>
      </c>
      <c r="AB107" s="459">
        <f t="shared" si="30"/>
        <v>0</v>
      </c>
    </row>
    <row r="108" spans="1:28" s="344" customFormat="1" ht="26.25" customHeight="1">
      <c r="A108" s="1066" t="s">
        <v>2210</v>
      </c>
      <c r="B108" s="995" t="s">
        <v>573</v>
      </c>
      <c r="C108" s="1058">
        <v>3</v>
      </c>
      <c r="D108" s="1066" t="s">
        <v>85</v>
      </c>
      <c r="E108" s="946">
        <v>33</v>
      </c>
      <c r="F108" s="946">
        <f t="shared" si="31"/>
        <v>99</v>
      </c>
      <c r="G108" s="946">
        <f>VLOOKUP(B108,$O$2:$Q$13,3,0)</f>
        <v>0</v>
      </c>
      <c r="H108" s="947">
        <f t="shared" si="32"/>
        <v>0</v>
      </c>
      <c r="I108" s="947">
        <f t="shared" si="33"/>
        <v>99</v>
      </c>
      <c r="J108" s="1066"/>
      <c r="AA108" s="459">
        <f t="shared" si="30"/>
        <v>0</v>
      </c>
      <c r="AB108" s="459">
        <f t="shared" si="30"/>
        <v>0</v>
      </c>
    </row>
    <row r="109" spans="1:28" s="344" customFormat="1" ht="26.25" customHeight="1">
      <c r="A109" s="1089"/>
      <c r="B109" s="563" t="s">
        <v>1323</v>
      </c>
      <c r="C109" s="1090"/>
      <c r="D109" s="1089"/>
      <c r="E109" s="1091"/>
      <c r="F109" s="1091"/>
      <c r="G109" s="1091"/>
      <c r="H109" s="1092"/>
      <c r="I109" s="1093">
        <f>SUM(I101:I108)</f>
        <v>7939.13</v>
      </c>
      <c r="J109" s="1089"/>
      <c r="AA109" s="459"/>
      <c r="AB109" s="459"/>
    </row>
    <row r="110" spans="1:28" s="344" customFormat="1" ht="26.25" customHeight="1">
      <c r="A110" s="1084" t="s">
        <v>1119</v>
      </c>
      <c r="B110" s="1085" t="s">
        <v>1009</v>
      </c>
      <c r="C110" s="1086"/>
      <c r="D110" s="1084"/>
      <c r="E110" s="1087"/>
      <c r="F110" s="1088"/>
      <c r="G110" s="1087"/>
      <c r="H110" s="1088"/>
      <c r="I110" s="1088"/>
      <c r="J110" s="1084"/>
      <c r="AA110" s="459">
        <f t="shared" si="30"/>
        <v>0</v>
      </c>
      <c r="AB110" s="459">
        <f t="shared" si="30"/>
        <v>0</v>
      </c>
    </row>
    <row r="111" spans="1:28" s="344" customFormat="1" ht="26.25" customHeight="1">
      <c r="A111" s="1066" t="s">
        <v>1914</v>
      </c>
      <c r="B111" s="995" t="s">
        <v>567</v>
      </c>
      <c r="C111" s="1058">
        <v>1</v>
      </c>
      <c r="D111" s="1066" t="s">
        <v>545</v>
      </c>
      <c r="E111" s="946">
        <v>2420</v>
      </c>
      <c r="F111" s="946">
        <f t="shared" ref="F111:F118" si="34">E111*C111</f>
        <v>2420</v>
      </c>
      <c r="G111" s="946">
        <v>306</v>
      </c>
      <c r="H111" s="947">
        <f t="shared" ref="H111:H118" si="35">G111*C111</f>
        <v>306</v>
      </c>
      <c r="I111" s="947">
        <f t="shared" ref="I111:I118" si="36">H111+F111</f>
        <v>2726</v>
      </c>
      <c r="J111" s="1066"/>
      <c r="AA111" s="459">
        <f t="shared" si="30"/>
        <v>0</v>
      </c>
      <c r="AB111" s="459">
        <f t="shared" si="30"/>
        <v>0</v>
      </c>
    </row>
    <row r="112" spans="1:28" s="344" customFormat="1" ht="26.25" customHeight="1">
      <c r="A112" s="1066" t="s">
        <v>1915</v>
      </c>
      <c r="B112" s="995" t="s">
        <v>576</v>
      </c>
      <c r="C112" s="1058">
        <v>2</v>
      </c>
      <c r="D112" s="1066" t="s">
        <v>85</v>
      </c>
      <c r="E112" s="946">
        <v>26.03</v>
      </c>
      <c r="F112" s="946">
        <f t="shared" si="34"/>
        <v>52.06</v>
      </c>
      <c r="G112" s="946">
        <v>4.0999999999999996</v>
      </c>
      <c r="H112" s="947">
        <f t="shared" si="35"/>
        <v>8.1999999999999993</v>
      </c>
      <c r="I112" s="947">
        <f t="shared" si="36"/>
        <v>60.260000000000005</v>
      </c>
      <c r="J112" s="1066"/>
      <c r="AA112" s="459">
        <f t="shared" si="30"/>
        <v>0</v>
      </c>
      <c r="AB112" s="459">
        <f t="shared" si="30"/>
        <v>0</v>
      </c>
    </row>
    <row r="113" spans="1:28" s="344" customFormat="1" ht="26.25" customHeight="1">
      <c r="A113" s="1066" t="s">
        <v>1916</v>
      </c>
      <c r="B113" s="995" t="s">
        <v>574</v>
      </c>
      <c r="C113" s="549">
        <v>14</v>
      </c>
      <c r="D113" s="1066" t="s">
        <v>85</v>
      </c>
      <c r="E113" s="946">
        <v>26.36</v>
      </c>
      <c r="F113" s="946">
        <f t="shared" si="34"/>
        <v>369.03999999999996</v>
      </c>
      <c r="G113" s="946">
        <v>3.3</v>
      </c>
      <c r="H113" s="947">
        <f t="shared" si="35"/>
        <v>46.199999999999996</v>
      </c>
      <c r="I113" s="947">
        <f t="shared" si="36"/>
        <v>415.23999999999995</v>
      </c>
      <c r="J113" s="1066"/>
      <c r="AA113" s="459">
        <f t="shared" si="30"/>
        <v>0</v>
      </c>
      <c r="AB113" s="459">
        <f t="shared" si="30"/>
        <v>0</v>
      </c>
    </row>
    <row r="114" spans="1:28" s="344" customFormat="1" ht="26.25" customHeight="1">
      <c r="A114" s="1066" t="s">
        <v>1917</v>
      </c>
      <c r="B114" s="995" t="s">
        <v>570</v>
      </c>
      <c r="C114" s="549">
        <f>C115*0.025*35.31</f>
        <v>1.7655000000000003</v>
      </c>
      <c r="D114" s="1066" t="s">
        <v>598</v>
      </c>
      <c r="E114" s="946">
        <f>VLOOKUP(B114,$O$2:$Q$13,2,0)</f>
        <v>400</v>
      </c>
      <c r="F114" s="946">
        <f t="shared" si="34"/>
        <v>706.20000000000016</v>
      </c>
      <c r="G114" s="946">
        <f>VLOOKUP(B114,$O$2:$Q$13,3,0)</f>
        <v>0</v>
      </c>
      <c r="H114" s="947">
        <f t="shared" si="35"/>
        <v>0</v>
      </c>
      <c r="I114" s="947">
        <f t="shared" si="36"/>
        <v>706.20000000000016</v>
      </c>
      <c r="J114" s="1066"/>
      <c r="AA114" s="459">
        <f t="shared" si="30"/>
        <v>0</v>
      </c>
      <c r="AB114" s="459">
        <f t="shared" si="30"/>
        <v>0</v>
      </c>
    </row>
    <row r="115" spans="1:28" s="344" customFormat="1" ht="26.25" customHeight="1">
      <c r="A115" s="1066" t="s">
        <v>1918</v>
      </c>
      <c r="B115" s="995" t="s">
        <v>1036</v>
      </c>
      <c r="C115" s="549">
        <v>2</v>
      </c>
      <c r="D115" s="1066" t="s">
        <v>278</v>
      </c>
      <c r="E115" s="946">
        <f>VLOOKUP(B115,$O$2:$Q$13,2,0)</f>
        <v>0</v>
      </c>
      <c r="F115" s="946">
        <f t="shared" si="34"/>
        <v>0</v>
      </c>
      <c r="G115" s="946">
        <f>VLOOKUP(B115,$O$2:$Q$13,3,0)</f>
        <v>133</v>
      </c>
      <c r="H115" s="947">
        <f t="shared" si="35"/>
        <v>266</v>
      </c>
      <c r="I115" s="947">
        <f t="shared" si="36"/>
        <v>266</v>
      </c>
      <c r="J115" s="1066"/>
      <c r="AA115" s="459">
        <f t="shared" si="30"/>
        <v>2</v>
      </c>
      <c r="AB115" s="459">
        <f t="shared" si="30"/>
        <v>0</v>
      </c>
    </row>
    <row r="116" spans="1:28" s="344" customFormat="1" ht="26.25" customHeight="1">
      <c r="A116" s="1066" t="s">
        <v>1919</v>
      </c>
      <c r="B116" s="995" t="s">
        <v>571</v>
      </c>
      <c r="C116" s="549">
        <v>1</v>
      </c>
      <c r="D116" s="1066" t="s">
        <v>598</v>
      </c>
      <c r="E116" s="946">
        <f>VLOOKUP(B116,$O$2:$Q$13,2,0)</f>
        <v>400</v>
      </c>
      <c r="F116" s="946">
        <f t="shared" si="34"/>
        <v>400</v>
      </c>
      <c r="G116" s="946">
        <f>VLOOKUP(B116,$O$2:$Q$13,3,0)</f>
        <v>0</v>
      </c>
      <c r="H116" s="947">
        <f t="shared" si="35"/>
        <v>0</v>
      </c>
      <c r="I116" s="947">
        <f t="shared" si="36"/>
        <v>400</v>
      </c>
      <c r="J116" s="1066"/>
      <c r="AA116" s="459">
        <f t="shared" si="30"/>
        <v>0</v>
      </c>
      <c r="AB116" s="459">
        <f t="shared" si="30"/>
        <v>0</v>
      </c>
    </row>
    <row r="117" spans="1:28" s="344" customFormat="1" ht="26.25" customHeight="1">
      <c r="A117" s="1066" t="s">
        <v>1920</v>
      </c>
      <c r="B117" s="995" t="s">
        <v>572</v>
      </c>
      <c r="C117" s="1058">
        <v>1</v>
      </c>
      <c r="D117" s="1066" t="s">
        <v>85</v>
      </c>
      <c r="E117" s="946">
        <f>VLOOKUP(B117,$O$2:$Q$13,2,0)</f>
        <v>56.78</v>
      </c>
      <c r="F117" s="946">
        <f t="shared" si="34"/>
        <v>56.78</v>
      </c>
      <c r="G117" s="946">
        <f>VLOOKUP(B117,$O$2:$Q$13,3,0)</f>
        <v>0</v>
      </c>
      <c r="H117" s="947">
        <f t="shared" si="35"/>
        <v>0</v>
      </c>
      <c r="I117" s="947">
        <f t="shared" si="36"/>
        <v>56.78</v>
      </c>
      <c r="J117" s="1066"/>
      <c r="AA117" s="459">
        <f t="shared" si="30"/>
        <v>0</v>
      </c>
      <c r="AB117" s="459">
        <f t="shared" si="30"/>
        <v>0</v>
      </c>
    </row>
    <row r="118" spans="1:28" s="344" customFormat="1" ht="26.25" customHeight="1">
      <c r="A118" s="1066" t="s">
        <v>1921</v>
      </c>
      <c r="B118" s="995" t="s">
        <v>573</v>
      </c>
      <c r="C118" s="1058">
        <v>3</v>
      </c>
      <c r="D118" s="1066" t="s">
        <v>85</v>
      </c>
      <c r="E118" s="946">
        <v>33</v>
      </c>
      <c r="F118" s="946">
        <f t="shared" si="34"/>
        <v>99</v>
      </c>
      <c r="G118" s="946">
        <f>VLOOKUP(B118,$O$2:$Q$13,3,0)</f>
        <v>0</v>
      </c>
      <c r="H118" s="947">
        <f t="shared" si="35"/>
        <v>0</v>
      </c>
      <c r="I118" s="947">
        <f t="shared" si="36"/>
        <v>99</v>
      </c>
      <c r="J118" s="1066"/>
      <c r="AA118" s="459">
        <f t="shared" si="30"/>
        <v>0</v>
      </c>
      <c r="AB118" s="459">
        <f t="shared" si="30"/>
        <v>0</v>
      </c>
    </row>
    <row r="119" spans="1:28" s="344" customFormat="1" ht="26.25" customHeight="1">
      <c r="A119" s="1089"/>
      <c r="B119" s="563" t="s">
        <v>1324</v>
      </c>
      <c r="C119" s="1090"/>
      <c r="D119" s="1089"/>
      <c r="E119" s="1091"/>
      <c r="F119" s="1091"/>
      <c r="G119" s="1091"/>
      <c r="H119" s="1092"/>
      <c r="I119" s="1093">
        <f>SUM(I111:I118)</f>
        <v>4729.4800000000005</v>
      </c>
      <c r="J119" s="1089"/>
      <c r="AA119" s="459"/>
      <c r="AB119" s="459"/>
    </row>
    <row r="120" spans="1:28" s="344" customFormat="1" ht="26.25" customHeight="1">
      <c r="A120" s="1072"/>
      <c r="B120" s="551" t="s">
        <v>1273</v>
      </c>
      <c r="C120" s="1071"/>
      <c r="D120" s="1072"/>
      <c r="E120" s="1094"/>
      <c r="F120" s="1094"/>
      <c r="G120" s="1094"/>
      <c r="H120" s="1081"/>
      <c r="I120" s="1095">
        <f>I79+I89+I99+I109+I119</f>
        <v>147612.79</v>
      </c>
      <c r="J120" s="1072"/>
      <c r="AA120" s="459"/>
      <c r="AB120" s="459"/>
    </row>
    <row r="121" spans="1:28" s="344" customFormat="1" ht="26.25" customHeight="1">
      <c r="A121" s="1051">
        <v>2.5</v>
      </c>
      <c r="B121" s="1096" t="s">
        <v>577</v>
      </c>
      <c r="C121" s="1053"/>
      <c r="D121" s="991"/>
      <c r="E121" s="1055"/>
      <c r="F121" s="1056"/>
      <c r="G121" s="1055"/>
      <c r="H121" s="1056"/>
      <c r="I121" s="1056"/>
      <c r="J121" s="991"/>
      <c r="AA121" s="459">
        <f t="shared" si="30"/>
        <v>0</v>
      </c>
      <c r="AB121" s="459">
        <f t="shared" si="30"/>
        <v>0</v>
      </c>
    </row>
    <row r="122" spans="1:28" s="344" customFormat="1" ht="26.25" customHeight="1">
      <c r="A122" s="1084" t="s">
        <v>1120</v>
      </c>
      <c r="B122" s="1085" t="s">
        <v>557</v>
      </c>
      <c r="C122" s="1086"/>
      <c r="D122" s="1084"/>
      <c r="E122" s="1087"/>
      <c r="F122" s="1088"/>
      <c r="G122" s="1087"/>
      <c r="H122" s="1088"/>
      <c r="I122" s="1088"/>
      <c r="J122" s="1084"/>
      <c r="AA122" s="459">
        <f t="shared" si="30"/>
        <v>0</v>
      </c>
      <c r="AB122" s="459">
        <f t="shared" si="30"/>
        <v>0</v>
      </c>
    </row>
    <row r="123" spans="1:28" s="344" customFormat="1" ht="26.25" customHeight="1">
      <c r="A123" s="1066" t="s">
        <v>1922</v>
      </c>
      <c r="B123" s="995" t="s">
        <v>566</v>
      </c>
      <c r="C123" s="1058">
        <v>1</v>
      </c>
      <c r="D123" s="1066" t="s">
        <v>545</v>
      </c>
      <c r="E123" s="946">
        <v>2193</v>
      </c>
      <c r="F123" s="946">
        <f t="shared" ref="F123:F131" si="37">E123*C123</f>
        <v>2193</v>
      </c>
      <c r="G123" s="946">
        <v>306</v>
      </c>
      <c r="H123" s="947">
        <f t="shared" ref="H123:H131" si="38">G123*C123</f>
        <v>306</v>
      </c>
      <c r="I123" s="947">
        <f t="shared" ref="I123:I131" si="39">H123+F123</f>
        <v>2499</v>
      </c>
      <c r="J123" s="1066"/>
      <c r="AA123" s="459">
        <f t="shared" si="30"/>
        <v>0</v>
      </c>
      <c r="AB123" s="459">
        <f t="shared" si="30"/>
        <v>0</v>
      </c>
    </row>
    <row r="124" spans="1:28" s="344" customFormat="1" ht="26.25" customHeight="1">
      <c r="A124" s="1066" t="s">
        <v>1923</v>
      </c>
      <c r="B124" s="995" t="s">
        <v>567</v>
      </c>
      <c r="C124" s="1058">
        <v>7</v>
      </c>
      <c r="D124" s="1066" t="s">
        <v>545</v>
      </c>
      <c r="E124" s="946">
        <v>2420</v>
      </c>
      <c r="F124" s="946">
        <f t="shared" si="37"/>
        <v>16940</v>
      </c>
      <c r="G124" s="946">
        <v>306</v>
      </c>
      <c r="H124" s="947">
        <f t="shared" si="38"/>
        <v>2142</v>
      </c>
      <c r="I124" s="947">
        <f t="shared" si="39"/>
        <v>19082</v>
      </c>
      <c r="J124" s="1066"/>
      <c r="AA124" s="459">
        <f t="shared" si="30"/>
        <v>0</v>
      </c>
      <c r="AB124" s="459">
        <f t="shared" si="30"/>
        <v>0</v>
      </c>
    </row>
    <row r="125" spans="1:28" s="344" customFormat="1" ht="26.25" customHeight="1">
      <c r="A125" s="1066" t="s">
        <v>1924</v>
      </c>
      <c r="B125" s="995" t="s">
        <v>576</v>
      </c>
      <c r="C125" s="1058">
        <v>108</v>
      </c>
      <c r="D125" s="1066" t="s">
        <v>85</v>
      </c>
      <c r="E125" s="946">
        <v>26.03</v>
      </c>
      <c r="F125" s="946">
        <f t="shared" si="37"/>
        <v>2811.2400000000002</v>
      </c>
      <c r="G125" s="946">
        <v>4.0999999999999996</v>
      </c>
      <c r="H125" s="947">
        <f t="shared" si="38"/>
        <v>442.79999999999995</v>
      </c>
      <c r="I125" s="947">
        <f t="shared" si="39"/>
        <v>3254.04</v>
      </c>
      <c r="J125" s="1066"/>
      <c r="AA125" s="459">
        <f t="shared" si="30"/>
        <v>0</v>
      </c>
      <c r="AB125" s="459">
        <f t="shared" si="30"/>
        <v>0</v>
      </c>
    </row>
    <row r="126" spans="1:28" s="344" customFormat="1" ht="26.25" customHeight="1">
      <c r="A126" s="1066" t="s">
        <v>1925</v>
      </c>
      <c r="B126" s="995" t="s">
        <v>574</v>
      </c>
      <c r="C126" s="549">
        <v>462</v>
      </c>
      <c r="D126" s="1066" t="s">
        <v>85</v>
      </c>
      <c r="E126" s="946">
        <v>26.36</v>
      </c>
      <c r="F126" s="946">
        <f t="shared" si="37"/>
        <v>12178.32</v>
      </c>
      <c r="G126" s="946">
        <v>3.3</v>
      </c>
      <c r="H126" s="947">
        <f t="shared" si="38"/>
        <v>1524.6</v>
      </c>
      <c r="I126" s="947">
        <f t="shared" si="39"/>
        <v>13702.92</v>
      </c>
      <c r="J126" s="1066"/>
      <c r="AA126" s="459">
        <f t="shared" si="30"/>
        <v>0</v>
      </c>
      <c r="AB126" s="459">
        <f t="shared" si="30"/>
        <v>0</v>
      </c>
    </row>
    <row r="127" spans="1:28" s="344" customFormat="1" ht="26.25" customHeight="1">
      <c r="A127" s="1066" t="s">
        <v>1926</v>
      </c>
      <c r="B127" s="995" t="s">
        <v>570</v>
      </c>
      <c r="C127" s="549">
        <f>C128*0.025*35.31</f>
        <v>58.261500000000005</v>
      </c>
      <c r="D127" s="1066" t="s">
        <v>598</v>
      </c>
      <c r="E127" s="946">
        <f>VLOOKUP(B127,$O$2:$Q$13,2,0)</f>
        <v>400</v>
      </c>
      <c r="F127" s="946">
        <f t="shared" si="37"/>
        <v>23304.600000000002</v>
      </c>
      <c r="G127" s="946">
        <f>VLOOKUP(B127,$O$2:$Q$13,3,0)</f>
        <v>0</v>
      </c>
      <c r="H127" s="947">
        <f t="shared" si="38"/>
        <v>0</v>
      </c>
      <c r="I127" s="947">
        <f t="shared" si="39"/>
        <v>23304.600000000002</v>
      </c>
      <c r="J127" s="1066"/>
      <c r="AA127" s="459">
        <f t="shared" si="30"/>
        <v>0</v>
      </c>
      <c r="AB127" s="459">
        <f t="shared" si="30"/>
        <v>0</v>
      </c>
    </row>
    <row r="128" spans="1:28" s="344" customFormat="1" ht="26.25" customHeight="1">
      <c r="A128" s="1066" t="s">
        <v>1927</v>
      </c>
      <c r="B128" s="995" t="s">
        <v>1036</v>
      </c>
      <c r="C128" s="549">
        <v>66</v>
      </c>
      <c r="D128" s="1066" t="s">
        <v>278</v>
      </c>
      <c r="E128" s="946">
        <f>VLOOKUP(B128,$O$2:$Q$13,2,0)</f>
        <v>0</v>
      </c>
      <c r="F128" s="946">
        <f t="shared" si="37"/>
        <v>0</v>
      </c>
      <c r="G128" s="946">
        <f>VLOOKUP(B128,$O$2:$Q$13,3,0)</f>
        <v>133</v>
      </c>
      <c r="H128" s="947">
        <f t="shared" si="38"/>
        <v>8778</v>
      </c>
      <c r="I128" s="947">
        <f t="shared" si="39"/>
        <v>8778</v>
      </c>
      <c r="J128" s="1066"/>
      <c r="AA128" s="459">
        <f t="shared" si="30"/>
        <v>66</v>
      </c>
      <c r="AB128" s="459">
        <f t="shared" si="30"/>
        <v>0</v>
      </c>
    </row>
    <row r="129" spans="1:28" s="344" customFormat="1" ht="26.25" customHeight="1">
      <c r="A129" s="1066" t="s">
        <v>1928</v>
      </c>
      <c r="B129" s="995" t="s">
        <v>571</v>
      </c>
      <c r="C129" s="549">
        <v>7</v>
      </c>
      <c r="D129" s="1066" t="s">
        <v>598</v>
      </c>
      <c r="E129" s="946">
        <f>VLOOKUP(B129,$O$2:$Q$13,2,0)</f>
        <v>400</v>
      </c>
      <c r="F129" s="946">
        <f t="shared" si="37"/>
        <v>2800</v>
      </c>
      <c r="G129" s="946">
        <f>VLOOKUP(B129,$O$2:$Q$13,3,0)</f>
        <v>0</v>
      </c>
      <c r="H129" s="947">
        <f t="shared" si="38"/>
        <v>0</v>
      </c>
      <c r="I129" s="947">
        <f t="shared" si="39"/>
        <v>2800</v>
      </c>
      <c r="J129" s="1066"/>
      <c r="AA129" s="459">
        <f t="shared" si="30"/>
        <v>0</v>
      </c>
      <c r="AB129" s="459">
        <f t="shared" si="30"/>
        <v>0</v>
      </c>
    </row>
    <row r="130" spans="1:28" s="344" customFormat="1" ht="26.25" customHeight="1">
      <c r="A130" s="1066" t="s">
        <v>1929</v>
      </c>
      <c r="B130" s="995" t="s">
        <v>572</v>
      </c>
      <c r="C130" s="1058">
        <v>13</v>
      </c>
      <c r="D130" s="1066" t="s">
        <v>85</v>
      </c>
      <c r="E130" s="946">
        <f>VLOOKUP(B130,$O$2:$Q$13,2,0)</f>
        <v>56.78</v>
      </c>
      <c r="F130" s="946">
        <f t="shared" si="37"/>
        <v>738.14</v>
      </c>
      <c r="G130" s="946">
        <f>VLOOKUP(B130,$O$2:$Q$13,3,0)</f>
        <v>0</v>
      </c>
      <c r="H130" s="947">
        <f t="shared" si="38"/>
        <v>0</v>
      </c>
      <c r="I130" s="947">
        <f t="shared" si="39"/>
        <v>738.14</v>
      </c>
      <c r="J130" s="1066"/>
      <c r="AA130" s="459">
        <f t="shared" si="30"/>
        <v>0</v>
      </c>
      <c r="AB130" s="459">
        <f t="shared" si="30"/>
        <v>0</v>
      </c>
    </row>
    <row r="131" spans="1:28" s="344" customFormat="1" ht="26.25" customHeight="1">
      <c r="A131" s="1066" t="s">
        <v>1930</v>
      </c>
      <c r="B131" s="995" t="s">
        <v>573</v>
      </c>
      <c r="C131" s="1058">
        <v>17</v>
      </c>
      <c r="D131" s="1066" t="s">
        <v>85</v>
      </c>
      <c r="E131" s="946">
        <v>33</v>
      </c>
      <c r="F131" s="946">
        <f t="shared" si="37"/>
        <v>561</v>
      </c>
      <c r="G131" s="946">
        <f>VLOOKUP(B131,$O$2:$Q$13,3,0)</f>
        <v>0</v>
      </c>
      <c r="H131" s="947">
        <f t="shared" si="38"/>
        <v>0</v>
      </c>
      <c r="I131" s="947">
        <f t="shared" si="39"/>
        <v>561</v>
      </c>
      <c r="J131" s="1066"/>
      <c r="AA131" s="459">
        <f t="shared" si="30"/>
        <v>0</v>
      </c>
      <c r="AB131" s="459">
        <f t="shared" si="30"/>
        <v>0</v>
      </c>
    </row>
    <row r="132" spans="1:28" s="344" customFormat="1" ht="26.25" customHeight="1">
      <c r="A132" s="1089"/>
      <c r="B132" s="563" t="s">
        <v>1325</v>
      </c>
      <c r="C132" s="1090"/>
      <c r="D132" s="1089"/>
      <c r="E132" s="1091"/>
      <c r="F132" s="1091"/>
      <c r="G132" s="1091"/>
      <c r="H132" s="1092"/>
      <c r="I132" s="1093">
        <f>SUM(I123:I131)</f>
        <v>74719.7</v>
      </c>
      <c r="J132" s="1089"/>
      <c r="AA132" s="459"/>
      <c r="AB132" s="459"/>
    </row>
    <row r="133" spans="1:28" s="344" customFormat="1" ht="26.25" customHeight="1">
      <c r="A133" s="1084" t="s">
        <v>1122</v>
      </c>
      <c r="B133" s="1085" t="s">
        <v>558</v>
      </c>
      <c r="C133" s="1086"/>
      <c r="D133" s="1084"/>
      <c r="E133" s="1087"/>
      <c r="F133" s="1088"/>
      <c r="G133" s="1087"/>
      <c r="H133" s="1088"/>
      <c r="I133" s="1088"/>
      <c r="J133" s="1084"/>
      <c r="AA133" s="459">
        <f t="shared" si="30"/>
        <v>0</v>
      </c>
      <c r="AB133" s="459">
        <f t="shared" si="30"/>
        <v>0</v>
      </c>
    </row>
    <row r="134" spans="1:28" s="344" customFormat="1" ht="26.25" customHeight="1">
      <c r="A134" s="1066" t="s">
        <v>1931</v>
      </c>
      <c r="B134" s="995" t="s">
        <v>566</v>
      </c>
      <c r="C134" s="1058">
        <v>1</v>
      </c>
      <c r="D134" s="1066" t="s">
        <v>545</v>
      </c>
      <c r="E134" s="946">
        <v>2193</v>
      </c>
      <c r="F134" s="946">
        <f t="shared" ref="F134:F142" si="40">E134*C134</f>
        <v>2193</v>
      </c>
      <c r="G134" s="946">
        <v>306</v>
      </c>
      <c r="H134" s="947">
        <f t="shared" ref="H134:H142" si="41">G134*C134</f>
        <v>306</v>
      </c>
      <c r="I134" s="947">
        <f t="shared" ref="I134:I142" si="42">H134+F134</f>
        <v>2499</v>
      </c>
      <c r="J134" s="1066"/>
      <c r="AA134" s="459">
        <f t="shared" si="30"/>
        <v>0</v>
      </c>
      <c r="AB134" s="459">
        <f t="shared" si="30"/>
        <v>0</v>
      </c>
    </row>
    <row r="135" spans="1:28" s="344" customFormat="1" ht="26.25" customHeight="1">
      <c r="A135" s="1066" t="s">
        <v>1932</v>
      </c>
      <c r="B135" s="995" t="s">
        <v>567</v>
      </c>
      <c r="C135" s="1058">
        <v>15</v>
      </c>
      <c r="D135" s="1066" t="s">
        <v>545</v>
      </c>
      <c r="E135" s="946">
        <v>2420</v>
      </c>
      <c r="F135" s="946">
        <f t="shared" si="40"/>
        <v>36300</v>
      </c>
      <c r="G135" s="946">
        <v>306</v>
      </c>
      <c r="H135" s="947">
        <f t="shared" si="41"/>
        <v>4590</v>
      </c>
      <c r="I135" s="947">
        <f t="shared" si="42"/>
        <v>40890</v>
      </c>
      <c r="J135" s="1066"/>
      <c r="AA135" s="459">
        <f t="shared" si="30"/>
        <v>0</v>
      </c>
      <c r="AB135" s="459">
        <f t="shared" si="30"/>
        <v>0</v>
      </c>
    </row>
    <row r="136" spans="1:28" s="344" customFormat="1" ht="26.25" customHeight="1">
      <c r="A136" s="1066" t="s">
        <v>1933</v>
      </c>
      <c r="B136" s="995" t="s">
        <v>576</v>
      </c>
      <c r="C136" s="1058">
        <v>157</v>
      </c>
      <c r="D136" s="1066" t="s">
        <v>85</v>
      </c>
      <c r="E136" s="946">
        <v>26.03</v>
      </c>
      <c r="F136" s="946">
        <f t="shared" si="40"/>
        <v>4086.71</v>
      </c>
      <c r="G136" s="946">
        <v>4.0999999999999996</v>
      </c>
      <c r="H136" s="947">
        <f t="shared" si="41"/>
        <v>643.69999999999993</v>
      </c>
      <c r="I136" s="947">
        <f t="shared" si="42"/>
        <v>4730.41</v>
      </c>
      <c r="J136" s="1066"/>
      <c r="AA136" s="459">
        <f t="shared" si="30"/>
        <v>0</v>
      </c>
      <c r="AB136" s="459">
        <f t="shared" si="30"/>
        <v>0</v>
      </c>
    </row>
    <row r="137" spans="1:28" s="344" customFormat="1" ht="26.25" customHeight="1">
      <c r="A137" s="1066" t="s">
        <v>1934</v>
      </c>
      <c r="B137" s="995" t="s">
        <v>574</v>
      </c>
      <c r="C137" s="549">
        <v>568</v>
      </c>
      <c r="D137" s="1066" t="s">
        <v>85</v>
      </c>
      <c r="E137" s="946">
        <v>26.36</v>
      </c>
      <c r="F137" s="946">
        <f t="shared" si="40"/>
        <v>14972.48</v>
      </c>
      <c r="G137" s="946">
        <v>3.3</v>
      </c>
      <c r="H137" s="947">
        <f t="shared" si="41"/>
        <v>1874.3999999999999</v>
      </c>
      <c r="I137" s="947">
        <f t="shared" si="42"/>
        <v>16846.88</v>
      </c>
      <c r="J137" s="1066"/>
      <c r="AA137" s="459">
        <f t="shared" si="30"/>
        <v>0</v>
      </c>
      <c r="AB137" s="459">
        <f t="shared" si="30"/>
        <v>0</v>
      </c>
    </row>
    <row r="138" spans="1:28" s="344" customFormat="1" ht="26.25" customHeight="1">
      <c r="A138" s="1066" t="s">
        <v>1935</v>
      </c>
      <c r="B138" s="995" t="s">
        <v>570</v>
      </c>
      <c r="C138" s="549">
        <f>C139*0.025*35.31</f>
        <v>95.337000000000018</v>
      </c>
      <c r="D138" s="1066" t="s">
        <v>598</v>
      </c>
      <c r="E138" s="946">
        <f>VLOOKUP(B138,$O$2:$Q$13,2,0)</f>
        <v>400</v>
      </c>
      <c r="F138" s="946">
        <f t="shared" si="40"/>
        <v>38134.80000000001</v>
      </c>
      <c r="G138" s="946">
        <f>VLOOKUP(B138,$O$2:$Q$13,3,0)</f>
        <v>0</v>
      </c>
      <c r="H138" s="947">
        <f t="shared" si="41"/>
        <v>0</v>
      </c>
      <c r="I138" s="947">
        <f t="shared" si="42"/>
        <v>38134.80000000001</v>
      </c>
      <c r="J138" s="1066"/>
      <c r="AA138" s="459">
        <f t="shared" si="30"/>
        <v>0</v>
      </c>
      <c r="AB138" s="459">
        <f t="shared" si="30"/>
        <v>0</v>
      </c>
    </row>
    <row r="139" spans="1:28" s="344" customFormat="1" ht="26.25" customHeight="1">
      <c r="A139" s="1066" t="s">
        <v>1936</v>
      </c>
      <c r="B139" s="995" t="s">
        <v>1036</v>
      </c>
      <c r="C139" s="549">
        <v>108</v>
      </c>
      <c r="D139" s="1066" t="s">
        <v>278</v>
      </c>
      <c r="E139" s="946">
        <f>VLOOKUP(B139,$O$2:$Q$13,2,0)</f>
        <v>0</v>
      </c>
      <c r="F139" s="946">
        <f t="shared" si="40"/>
        <v>0</v>
      </c>
      <c r="G139" s="946">
        <f>VLOOKUP(B139,$O$2:$Q$13,3,0)</f>
        <v>133</v>
      </c>
      <c r="H139" s="947">
        <f t="shared" si="41"/>
        <v>14364</v>
      </c>
      <c r="I139" s="947">
        <f t="shared" si="42"/>
        <v>14364</v>
      </c>
      <c r="J139" s="1066"/>
      <c r="AA139" s="459">
        <f t="shared" si="30"/>
        <v>108</v>
      </c>
      <c r="AB139" s="459">
        <f t="shared" si="30"/>
        <v>0</v>
      </c>
    </row>
    <row r="140" spans="1:28" s="344" customFormat="1" ht="26.25" customHeight="1">
      <c r="A140" s="1066" t="s">
        <v>1937</v>
      </c>
      <c r="B140" s="995" t="s">
        <v>571</v>
      </c>
      <c r="C140" s="549">
        <v>11</v>
      </c>
      <c r="D140" s="1066" t="s">
        <v>598</v>
      </c>
      <c r="E140" s="946">
        <f>VLOOKUP(B140,$O$2:$Q$13,2,0)</f>
        <v>400</v>
      </c>
      <c r="F140" s="946">
        <f t="shared" si="40"/>
        <v>4400</v>
      </c>
      <c r="G140" s="946">
        <f>VLOOKUP(B140,$O$2:$Q$13,3,0)</f>
        <v>0</v>
      </c>
      <c r="H140" s="947">
        <f t="shared" si="41"/>
        <v>0</v>
      </c>
      <c r="I140" s="947">
        <f t="shared" si="42"/>
        <v>4400</v>
      </c>
      <c r="J140" s="1066"/>
      <c r="AA140" s="459">
        <f t="shared" si="30"/>
        <v>0</v>
      </c>
      <c r="AB140" s="459">
        <f t="shared" si="30"/>
        <v>0</v>
      </c>
    </row>
    <row r="141" spans="1:28" s="344" customFormat="1" ht="26.25" customHeight="1">
      <c r="A141" s="1066" t="s">
        <v>1938</v>
      </c>
      <c r="B141" s="995" t="s">
        <v>572</v>
      </c>
      <c r="C141" s="1058">
        <v>22</v>
      </c>
      <c r="D141" s="1066" t="s">
        <v>85</v>
      </c>
      <c r="E141" s="946">
        <f>VLOOKUP(B141,$O$2:$Q$13,2,0)</f>
        <v>56.78</v>
      </c>
      <c r="F141" s="946">
        <f t="shared" si="40"/>
        <v>1249.1600000000001</v>
      </c>
      <c r="G141" s="946">
        <f>VLOOKUP(B141,$O$2:$Q$13,3,0)</f>
        <v>0</v>
      </c>
      <c r="H141" s="947">
        <f t="shared" si="41"/>
        <v>0</v>
      </c>
      <c r="I141" s="947">
        <f t="shared" si="42"/>
        <v>1249.1600000000001</v>
      </c>
      <c r="J141" s="1066"/>
      <c r="AA141" s="459">
        <f t="shared" si="30"/>
        <v>0</v>
      </c>
      <c r="AB141" s="459">
        <f t="shared" si="30"/>
        <v>0</v>
      </c>
    </row>
    <row r="142" spans="1:28" s="344" customFormat="1" ht="26.25" customHeight="1">
      <c r="A142" s="1066" t="s">
        <v>1939</v>
      </c>
      <c r="B142" s="995" t="s">
        <v>573</v>
      </c>
      <c r="C142" s="1058">
        <v>22</v>
      </c>
      <c r="D142" s="1066" t="s">
        <v>85</v>
      </c>
      <c r="E142" s="946">
        <v>33</v>
      </c>
      <c r="F142" s="946">
        <f t="shared" si="40"/>
        <v>726</v>
      </c>
      <c r="G142" s="946">
        <f>VLOOKUP(B142,$O$2:$Q$13,3,0)</f>
        <v>0</v>
      </c>
      <c r="H142" s="947">
        <f t="shared" si="41"/>
        <v>0</v>
      </c>
      <c r="I142" s="947">
        <f t="shared" si="42"/>
        <v>726</v>
      </c>
      <c r="J142" s="1066"/>
      <c r="AA142" s="459">
        <f t="shared" si="30"/>
        <v>0</v>
      </c>
      <c r="AB142" s="459">
        <f t="shared" si="30"/>
        <v>0</v>
      </c>
    </row>
    <row r="143" spans="1:28" s="344" customFormat="1" ht="26.25" customHeight="1">
      <c r="A143" s="1089"/>
      <c r="B143" s="563" t="s">
        <v>1326</v>
      </c>
      <c r="C143" s="1090"/>
      <c r="D143" s="1089"/>
      <c r="E143" s="1091"/>
      <c r="F143" s="1091"/>
      <c r="G143" s="1091"/>
      <c r="H143" s="1092"/>
      <c r="I143" s="1093">
        <f>SUM(I134:I142)</f>
        <v>123840.25000000003</v>
      </c>
      <c r="J143" s="1089"/>
      <c r="AA143" s="459"/>
      <c r="AB143" s="459"/>
    </row>
    <row r="144" spans="1:28" s="344" customFormat="1" ht="26.25" customHeight="1">
      <c r="A144" s="1084" t="s">
        <v>1123</v>
      </c>
      <c r="B144" s="1085" t="s">
        <v>579</v>
      </c>
      <c r="C144" s="1086"/>
      <c r="D144" s="1084"/>
      <c r="E144" s="1087"/>
      <c r="F144" s="1088"/>
      <c r="G144" s="1087"/>
      <c r="H144" s="1088"/>
      <c r="I144" s="1088"/>
      <c r="J144" s="1084"/>
      <c r="AA144" s="459">
        <f t="shared" si="30"/>
        <v>0</v>
      </c>
      <c r="AB144" s="459">
        <f t="shared" si="30"/>
        <v>0</v>
      </c>
    </row>
    <row r="145" spans="1:28" s="344" customFormat="1" ht="26.25" customHeight="1">
      <c r="A145" s="1066" t="s">
        <v>1940</v>
      </c>
      <c r="B145" s="995" t="s">
        <v>566</v>
      </c>
      <c r="C145" s="1058">
        <v>1</v>
      </c>
      <c r="D145" s="1066" t="s">
        <v>545</v>
      </c>
      <c r="E145" s="946">
        <v>2193</v>
      </c>
      <c r="F145" s="946">
        <f t="shared" ref="F145:F153" si="43">E145*C145</f>
        <v>2193</v>
      </c>
      <c r="G145" s="946">
        <v>306</v>
      </c>
      <c r="H145" s="947">
        <f t="shared" ref="H145:H153" si="44">G145*C145</f>
        <v>306</v>
      </c>
      <c r="I145" s="947">
        <f t="shared" ref="I145:I153" si="45">H145+F145</f>
        <v>2499</v>
      </c>
      <c r="J145" s="1066"/>
      <c r="AA145" s="459">
        <f t="shared" si="30"/>
        <v>0</v>
      </c>
      <c r="AB145" s="459">
        <f t="shared" si="30"/>
        <v>0</v>
      </c>
    </row>
    <row r="146" spans="1:28" s="344" customFormat="1" ht="26.25" customHeight="1">
      <c r="A146" s="1066" t="s">
        <v>1941</v>
      </c>
      <c r="B146" s="995" t="s">
        <v>567</v>
      </c>
      <c r="C146" s="1058">
        <v>2</v>
      </c>
      <c r="D146" s="1066" t="s">
        <v>545</v>
      </c>
      <c r="E146" s="946">
        <v>2420</v>
      </c>
      <c r="F146" s="946">
        <f t="shared" si="43"/>
        <v>4840</v>
      </c>
      <c r="G146" s="946">
        <v>306</v>
      </c>
      <c r="H146" s="947">
        <f t="shared" si="44"/>
        <v>612</v>
      </c>
      <c r="I146" s="947">
        <f t="shared" si="45"/>
        <v>5452</v>
      </c>
      <c r="J146" s="1066"/>
      <c r="AA146" s="459">
        <f t="shared" si="30"/>
        <v>0</v>
      </c>
      <c r="AB146" s="459">
        <f t="shared" si="30"/>
        <v>0</v>
      </c>
    </row>
    <row r="147" spans="1:28" s="344" customFormat="1" ht="26.25" customHeight="1">
      <c r="A147" s="1066" t="s">
        <v>1942</v>
      </c>
      <c r="B147" s="995" t="s">
        <v>576</v>
      </c>
      <c r="C147" s="1058">
        <v>16</v>
      </c>
      <c r="D147" s="1066" t="s">
        <v>85</v>
      </c>
      <c r="E147" s="946">
        <v>26.03</v>
      </c>
      <c r="F147" s="946">
        <f t="shared" si="43"/>
        <v>416.48</v>
      </c>
      <c r="G147" s="946">
        <v>4.0999999999999996</v>
      </c>
      <c r="H147" s="947">
        <f t="shared" si="44"/>
        <v>65.599999999999994</v>
      </c>
      <c r="I147" s="947">
        <f t="shared" si="45"/>
        <v>482.08000000000004</v>
      </c>
      <c r="J147" s="1066"/>
      <c r="AA147" s="459">
        <f t="shared" si="30"/>
        <v>0</v>
      </c>
      <c r="AB147" s="459">
        <f t="shared" si="30"/>
        <v>0</v>
      </c>
    </row>
    <row r="148" spans="1:28" s="344" customFormat="1" ht="26.25" customHeight="1">
      <c r="A148" s="1066" t="s">
        <v>1943</v>
      </c>
      <c r="B148" s="995" t="s">
        <v>574</v>
      </c>
      <c r="C148" s="549">
        <v>63</v>
      </c>
      <c r="D148" s="1066" t="s">
        <v>85</v>
      </c>
      <c r="E148" s="946">
        <v>26.36</v>
      </c>
      <c r="F148" s="946">
        <f t="shared" si="43"/>
        <v>1660.68</v>
      </c>
      <c r="G148" s="946">
        <v>3.3</v>
      </c>
      <c r="H148" s="947">
        <f t="shared" si="44"/>
        <v>207.89999999999998</v>
      </c>
      <c r="I148" s="947">
        <f t="shared" si="45"/>
        <v>1868.58</v>
      </c>
      <c r="J148" s="1066"/>
      <c r="AA148" s="459">
        <f t="shared" si="30"/>
        <v>0</v>
      </c>
      <c r="AB148" s="459">
        <f t="shared" si="30"/>
        <v>0</v>
      </c>
    </row>
    <row r="149" spans="1:28" s="344" customFormat="1" ht="26.25" customHeight="1">
      <c r="A149" s="1066" t="s">
        <v>1944</v>
      </c>
      <c r="B149" s="995" t="s">
        <v>570</v>
      </c>
      <c r="C149" s="549">
        <f>C150*0.025*35.31</f>
        <v>9.710250000000002</v>
      </c>
      <c r="D149" s="1066" t="s">
        <v>598</v>
      </c>
      <c r="E149" s="946">
        <f>VLOOKUP(B149,$O$2:$Q$13,2,0)</f>
        <v>400</v>
      </c>
      <c r="F149" s="946">
        <f t="shared" si="43"/>
        <v>3884.1000000000008</v>
      </c>
      <c r="G149" s="946">
        <f>VLOOKUP(B149,$O$2:$Q$13,3,0)</f>
        <v>0</v>
      </c>
      <c r="H149" s="947">
        <f t="shared" si="44"/>
        <v>0</v>
      </c>
      <c r="I149" s="947">
        <f t="shared" si="45"/>
        <v>3884.1000000000008</v>
      </c>
      <c r="J149" s="1066"/>
      <c r="AA149" s="459">
        <f t="shared" si="30"/>
        <v>0</v>
      </c>
      <c r="AB149" s="459">
        <f t="shared" si="30"/>
        <v>0</v>
      </c>
    </row>
    <row r="150" spans="1:28" s="344" customFormat="1" ht="26.25" customHeight="1">
      <c r="A150" s="1066" t="s">
        <v>1945</v>
      </c>
      <c r="B150" s="995" t="s">
        <v>1036</v>
      </c>
      <c r="C150" s="549">
        <v>11</v>
      </c>
      <c r="D150" s="1066" t="s">
        <v>278</v>
      </c>
      <c r="E150" s="946">
        <f>VLOOKUP(B150,$O$2:$Q$13,2,0)</f>
        <v>0</v>
      </c>
      <c r="F150" s="946">
        <f t="shared" si="43"/>
        <v>0</v>
      </c>
      <c r="G150" s="946">
        <f>VLOOKUP(B150,$O$2:$Q$13,3,0)</f>
        <v>133</v>
      </c>
      <c r="H150" s="947">
        <f t="shared" si="44"/>
        <v>1463</v>
      </c>
      <c r="I150" s="947">
        <f t="shared" si="45"/>
        <v>1463</v>
      </c>
      <c r="J150" s="1066"/>
      <c r="AA150" s="459">
        <f t="shared" si="30"/>
        <v>11</v>
      </c>
      <c r="AB150" s="459">
        <f t="shared" si="30"/>
        <v>0</v>
      </c>
    </row>
    <row r="151" spans="1:28" s="344" customFormat="1" ht="26.25" customHeight="1">
      <c r="A151" s="1066" t="s">
        <v>1946</v>
      </c>
      <c r="B151" s="995" t="s">
        <v>571</v>
      </c>
      <c r="C151" s="549">
        <v>1</v>
      </c>
      <c r="D151" s="1066" t="s">
        <v>598</v>
      </c>
      <c r="E151" s="946">
        <f>VLOOKUP(B151,$O$2:$Q$13,2,0)</f>
        <v>400</v>
      </c>
      <c r="F151" s="946">
        <f t="shared" si="43"/>
        <v>400</v>
      </c>
      <c r="G151" s="946">
        <f>VLOOKUP(B151,$O$2:$Q$13,3,0)</f>
        <v>0</v>
      </c>
      <c r="H151" s="947">
        <f t="shared" si="44"/>
        <v>0</v>
      </c>
      <c r="I151" s="947">
        <f t="shared" si="45"/>
        <v>400</v>
      </c>
      <c r="J151" s="1066"/>
      <c r="AA151" s="459">
        <f t="shared" si="30"/>
        <v>0</v>
      </c>
      <c r="AB151" s="459">
        <f t="shared" si="30"/>
        <v>0</v>
      </c>
    </row>
    <row r="152" spans="1:28" s="344" customFormat="1" ht="26.25" customHeight="1">
      <c r="A152" s="1066" t="s">
        <v>1947</v>
      </c>
      <c r="B152" s="995" t="s">
        <v>572</v>
      </c>
      <c r="C152" s="1058">
        <v>2</v>
      </c>
      <c r="D152" s="1066" t="s">
        <v>85</v>
      </c>
      <c r="E152" s="946">
        <f>VLOOKUP(B152,$O$2:$Q$13,2,0)</f>
        <v>56.78</v>
      </c>
      <c r="F152" s="946">
        <f t="shared" si="43"/>
        <v>113.56</v>
      </c>
      <c r="G152" s="946">
        <f>VLOOKUP(B152,$O$2:$Q$13,3,0)</f>
        <v>0</v>
      </c>
      <c r="H152" s="947">
        <f t="shared" si="44"/>
        <v>0</v>
      </c>
      <c r="I152" s="947">
        <f t="shared" si="45"/>
        <v>113.56</v>
      </c>
      <c r="J152" s="1066"/>
      <c r="AA152" s="459">
        <f t="shared" si="30"/>
        <v>0</v>
      </c>
      <c r="AB152" s="459">
        <f t="shared" si="30"/>
        <v>0</v>
      </c>
    </row>
    <row r="153" spans="1:28" s="344" customFormat="1" ht="26.25" customHeight="1">
      <c r="A153" s="1066" t="s">
        <v>1948</v>
      </c>
      <c r="B153" s="995" t="s">
        <v>573</v>
      </c>
      <c r="C153" s="1058">
        <v>3</v>
      </c>
      <c r="D153" s="1066" t="s">
        <v>85</v>
      </c>
      <c r="E153" s="946">
        <v>33</v>
      </c>
      <c r="F153" s="946">
        <f t="shared" si="43"/>
        <v>99</v>
      </c>
      <c r="G153" s="946">
        <f>VLOOKUP(B153,$O$2:$Q$13,3,0)</f>
        <v>0</v>
      </c>
      <c r="H153" s="947">
        <f t="shared" si="44"/>
        <v>0</v>
      </c>
      <c r="I153" s="947">
        <f t="shared" si="45"/>
        <v>99</v>
      </c>
      <c r="J153" s="1066"/>
      <c r="AA153" s="459">
        <f t="shared" si="30"/>
        <v>0</v>
      </c>
      <c r="AB153" s="459">
        <f t="shared" si="30"/>
        <v>0</v>
      </c>
    </row>
    <row r="154" spans="1:28" s="344" customFormat="1" ht="26.25" customHeight="1">
      <c r="A154" s="1089"/>
      <c r="B154" s="563" t="s">
        <v>1327</v>
      </c>
      <c r="C154" s="1090"/>
      <c r="D154" s="1089"/>
      <c r="E154" s="1091"/>
      <c r="F154" s="1091"/>
      <c r="G154" s="1091"/>
      <c r="H154" s="1092"/>
      <c r="I154" s="1093">
        <f>SUM(I145:I153)</f>
        <v>16261.32</v>
      </c>
      <c r="J154" s="1089"/>
      <c r="AA154" s="459"/>
      <c r="AB154" s="459"/>
    </row>
    <row r="155" spans="1:28" s="344" customFormat="1" ht="26.25" customHeight="1">
      <c r="A155" s="1084" t="s">
        <v>1124</v>
      </c>
      <c r="B155" s="1085" t="s">
        <v>588</v>
      </c>
      <c r="C155" s="1086"/>
      <c r="D155" s="1084"/>
      <c r="E155" s="1087"/>
      <c r="F155" s="1088"/>
      <c r="G155" s="1087"/>
      <c r="H155" s="1088"/>
      <c r="I155" s="1088"/>
      <c r="J155" s="1084"/>
      <c r="AA155" s="459">
        <f t="shared" si="30"/>
        <v>0</v>
      </c>
      <c r="AB155" s="459">
        <f t="shared" si="30"/>
        <v>0</v>
      </c>
    </row>
    <row r="156" spans="1:28" s="344" customFormat="1" ht="26.25" customHeight="1">
      <c r="A156" s="1066" t="s">
        <v>1949</v>
      </c>
      <c r="B156" s="995" t="s">
        <v>566</v>
      </c>
      <c r="C156" s="1058">
        <v>3</v>
      </c>
      <c r="D156" s="1066" t="s">
        <v>545</v>
      </c>
      <c r="E156" s="946">
        <v>2193</v>
      </c>
      <c r="F156" s="946">
        <f t="shared" ref="F156:F164" si="46">E156*C156</f>
        <v>6579</v>
      </c>
      <c r="G156" s="946">
        <v>306</v>
      </c>
      <c r="H156" s="947">
        <f t="shared" ref="H156:H164" si="47">G156*C156</f>
        <v>918</v>
      </c>
      <c r="I156" s="947">
        <f t="shared" ref="I156:I164" si="48">H156+F156</f>
        <v>7497</v>
      </c>
      <c r="J156" s="1066"/>
      <c r="AA156" s="459">
        <f t="shared" si="30"/>
        <v>0</v>
      </c>
      <c r="AB156" s="459">
        <f t="shared" si="30"/>
        <v>0</v>
      </c>
    </row>
    <row r="157" spans="1:28" s="344" customFormat="1" ht="26.25" customHeight="1">
      <c r="A157" s="1066" t="s">
        <v>1950</v>
      </c>
      <c r="B157" s="995" t="s">
        <v>567</v>
      </c>
      <c r="C157" s="1058">
        <v>27</v>
      </c>
      <c r="D157" s="1066" t="s">
        <v>545</v>
      </c>
      <c r="E157" s="946">
        <v>2420</v>
      </c>
      <c r="F157" s="946">
        <f t="shared" si="46"/>
        <v>65340</v>
      </c>
      <c r="G157" s="946">
        <v>306</v>
      </c>
      <c r="H157" s="947">
        <f t="shared" si="47"/>
        <v>8262</v>
      </c>
      <c r="I157" s="947">
        <f t="shared" si="48"/>
        <v>73602</v>
      </c>
      <c r="J157" s="1066"/>
      <c r="AA157" s="459">
        <f t="shared" si="30"/>
        <v>0</v>
      </c>
      <c r="AB157" s="459">
        <f t="shared" si="30"/>
        <v>0</v>
      </c>
    </row>
    <row r="158" spans="1:28" s="344" customFormat="1" ht="26.25" customHeight="1">
      <c r="A158" s="1066" t="s">
        <v>1951</v>
      </c>
      <c r="B158" s="995" t="s">
        <v>568</v>
      </c>
      <c r="C158" s="1058">
        <v>821</v>
      </c>
      <c r="D158" s="1066" t="s">
        <v>85</v>
      </c>
      <c r="E158" s="946">
        <v>25.09</v>
      </c>
      <c r="F158" s="946">
        <f t="shared" si="46"/>
        <v>20598.89</v>
      </c>
      <c r="G158" s="946">
        <v>4.0999999999999996</v>
      </c>
      <c r="H158" s="947">
        <f t="shared" si="47"/>
        <v>3366.1</v>
      </c>
      <c r="I158" s="947">
        <f t="shared" si="48"/>
        <v>23964.989999999998</v>
      </c>
      <c r="J158" s="1066"/>
      <c r="AA158" s="459">
        <f t="shared" si="30"/>
        <v>0</v>
      </c>
      <c r="AB158" s="459">
        <f t="shared" si="30"/>
        <v>0</v>
      </c>
    </row>
    <row r="159" spans="1:28" s="344" customFormat="1" ht="26.25" customHeight="1">
      <c r="A159" s="1066" t="s">
        <v>1952</v>
      </c>
      <c r="B159" s="995" t="s">
        <v>574</v>
      </c>
      <c r="C159" s="549">
        <v>2154</v>
      </c>
      <c r="D159" s="1066" t="s">
        <v>85</v>
      </c>
      <c r="E159" s="946">
        <v>26.36</v>
      </c>
      <c r="F159" s="946">
        <f t="shared" si="46"/>
        <v>56779.44</v>
      </c>
      <c r="G159" s="946">
        <v>3.3</v>
      </c>
      <c r="H159" s="947">
        <f t="shared" si="47"/>
        <v>7108.2</v>
      </c>
      <c r="I159" s="947">
        <f t="shared" si="48"/>
        <v>63887.64</v>
      </c>
      <c r="J159" s="1066"/>
      <c r="AA159" s="459">
        <f t="shared" si="30"/>
        <v>0</v>
      </c>
      <c r="AB159" s="459">
        <f t="shared" si="30"/>
        <v>0</v>
      </c>
    </row>
    <row r="160" spans="1:28" s="344" customFormat="1" ht="26.25" customHeight="1">
      <c r="A160" s="1066" t="s">
        <v>1953</v>
      </c>
      <c r="B160" s="995" t="s">
        <v>570</v>
      </c>
      <c r="C160" s="549">
        <f>C161*0.025*35.31</f>
        <v>180.96375</v>
      </c>
      <c r="D160" s="1066" t="s">
        <v>598</v>
      </c>
      <c r="E160" s="946">
        <f>VLOOKUP(B160,$O$2:$Q$13,2,0)</f>
        <v>400</v>
      </c>
      <c r="F160" s="946">
        <f t="shared" si="46"/>
        <v>72385.5</v>
      </c>
      <c r="G160" s="946">
        <f>VLOOKUP(B160,$O$2:$Q$13,3,0)</f>
        <v>0</v>
      </c>
      <c r="H160" s="947">
        <f t="shared" si="47"/>
        <v>0</v>
      </c>
      <c r="I160" s="947">
        <f t="shared" si="48"/>
        <v>72385.5</v>
      </c>
      <c r="J160" s="1066"/>
      <c r="AA160" s="459">
        <f t="shared" si="30"/>
        <v>0</v>
      </c>
      <c r="AB160" s="459">
        <f t="shared" si="30"/>
        <v>0</v>
      </c>
    </row>
    <row r="161" spans="1:28" s="344" customFormat="1" ht="26.25" customHeight="1">
      <c r="A161" s="1066" t="s">
        <v>1954</v>
      </c>
      <c r="B161" s="995" t="s">
        <v>1036</v>
      </c>
      <c r="C161" s="549">
        <v>205</v>
      </c>
      <c r="D161" s="1066" t="s">
        <v>278</v>
      </c>
      <c r="E161" s="946">
        <f>VLOOKUP(B161,$O$2:$Q$13,2,0)</f>
        <v>0</v>
      </c>
      <c r="F161" s="946">
        <f t="shared" si="46"/>
        <v>0</v>
      </c>
      <c r="G161" s="946">
        <f>VLOOKUP(B161,$O$2:$Q$13,3,0)</f>
        <v>133</v>
      </c>
      <c r="H161" s="947">
        <f t="shared" si="47"/>
        <v>27265</v>
      </c>
      <c r="I161" s="947">
        <f t="shared" si="48"/>
        <v>27265</v>
      </c>
      <c r="J161" s="1066"/>
      <c r="AA161" s="459">
        <f t="shared" si="30"/>
        <v>205</v>
      </c>
      <c r="AB161" s="459">
        <f t="shared" si="30"/>
        <v>0</v>
      </c>
    </row>
    <row r="162" spans="1:28" s="344" customFormat="1" ht="26.25" customHeight="1">
      <c r="A162" s="1066" t="s">
        <v>1955</v>
      </c>
      <c r="B162" s="995" t="s">
        <v>571</v>
      </c>
      <c r="C162" s="549">
        <v>22</v>
      </c>
      <c r="D162" s="1066" t="s">
        <v>598</v>
      </c>
      <c r="E162" s="946">
        <f>VLOOKUP(B162,$O$2:$Q$13,2,0)</f>
        <v>400</v>
      </c>
      <c r="F162" s="946">
        <f t="shared" si="46"/>
        <v>8800</v>
      </c>
      <c r="G162" s="946">
        <f>VLOOKUP(B162,$O$2:$Q$13,3,0)</f>
        <v>0</v>
      </c>
      <c r="H162" s="947">
        <f t="shared" si="47"/>
        <v>0</v>
      </c>
      <c r="I162" s="947">
        <f t="shared" si="48"/>
        <v>8800</v>
      </c>
      <c r="J162" s="1066"/>
      <c r="AA162" s="459">
        <f t="shared" si="30"/>
        <v>0</v>
      </c>
      <c r="AB162" s="459">
        <f t="shared" si="30"/>
        <v>0</v>
      </c>
    </row>
    <row r="163" spans="1:28" s="344" customFormat="1" ht="26.25" customHeight="1">
      <c r="A163" s="1066" t="s">
        <v>1956</v>
      </c>
      <c r="B163" s="995" t="s">
        <v>572</v>
      </c>
      <c r="C163" s="1058">
        <v>41</v>
      </c>
      <c r="D163" s="1066" t="s">
        <v>85</v>
      </c>
      <c r="E163" s="946">
        <f>VLOOKUP(B163,$O$2:$Q$13,2,0)</f>
        <v>56.78</v>
      </c>
      <c r="F163" s="946">
        <f t="shared" si="46"/>
        <v>2327.98</v>
      </c>
      <c r="G163" s="946">
        <f>VLOOKUP(B163,$O$2:$Q$13,3,0)</f>
        <v>0</v>
      </c>
      <c r="H163" s="947">
        <f t="shared" si="47"/>
        <v>0</v>
      </c>
      <c r="I163" s="947">
        <f t="shared" si="48"/>
        <v>2327.98</v>
      </c>
      <c r="J163" s="1066"/>
      <c r="AA163" s="459">
        <f t="shared" si="30"/>
        <v>0</v>
      </c>
      <c r="AB163" s="459">
        <f t="shared" si="30"/>
        <v>0</v>
      </c>
    </row>
    <row r="164" spans="1:28" s="344" customFormat="1" ht="26.25" customHeight="1">
      <c r="A164" s="1066" t="s">
        <v>1957</v>
      </c>
      <c r="B164" s="995" t="s">
        <v>573</v>
      </c>
      <c r="C164" s="1058">
        <v>89</v>
      </c>
      <c r="D164" s="1066" t="s">
        <v>85</v>
      </c>
      <c r="E164" s="946">
        <v>33</v>
      </c>
      <c r="F164" s="946">
        <f t="shared" si="46"/>
        <v>2937</v>
      </c>
      <c r="G164" s="946">
        <f>VLOOKUP(B164,$O$2:$Q$13,3,0)</f>
        <v>0</v>
      </c>
      <c r="H164" s="947">
        <f t="shared" si="47"/>
        <v>0</v>
      </c>
      <c r="I164" s="947">
        <f t="shared" si="48"/>
        <v>2937</v>
      </c>
      <c r="J164" s="1066"/>
      <c r="AA164" s="459">
        <f t="shared" si="30"/>
        <v>0</v>
      </c>
      <c r="AB164" s="459">
        <f t="shared" si="30"/>
        <v>0</v>
      </c>
    </row>
    <row r="165" spans="1:28" s="344" customFormat="1" ht="26.25" customHeight="1">
      <c r="A165" s="1089"/>
      <c r="B165" s="563" t="s">
        <v>1328</v>
      </c>
      <c r="C165" s="1090"/>
      <c r="D165" s="1089"/>
      <c r="E165" s="1091"/>
      <c r="F165" s="1091"/>
      <c r="G165" s="1091"/>
      <c r="H165" s="1092"/>
      <c r="I165" s="1093">
        <f>SUM(I156:I164)</f>
        <v>282667.11</v>
      </c>
      <c r="J165" s="1089"/>
      <c r="AA165" s="459"/>
      <c r="AB165" s="459"/>
    </row>
    <row r="166" spans="1:28" s="344" customFormat="1" ht="26.25" customHeight="1">
      <c r="A166" s="1084" t="s">
        <v>1121</v>
      </c>
      <c r="B166" s="1085" t="s">
        <v>1010</v>
      </c>
      <c r="C166" s="1086"/>
      <c r="D166" s="1084"/>
      <c r="E166" s="1087"/>
      <c r="F166" s="1088"/>
      <c r="G166" s="1087"/>
      <c r="H166" s="1088"/>
      <c r="I166" s="1088"/>
      <c r="J166" s="1084"/>
      <c r="AA166" s="459">
        <f t="shared" si="30"/>
        <v>0</v>
      </c>
      <c r="AB166" s="459">
        <f t="shared" si="30"/>
        <v>0</v>
      </c>
    </row>
    <row r="167" spans="1:28" s="344" customFormat="1" ht="26.25" customHeight="1">
      <c r="A167" s="1066" t="s">
        <v>1958</v>
      </c>
      <c r="B167" s="995" t="s">
        <v>566</v>
      </c>
      <c r="C167" s="1058">
        <v>1</v>
      </c>
      <c r="D167" s="1066" t="s">
        <v>545</v>
      </c>
      <c r="E167" s="946">
        <v>2193</v>
      </c>
      <c r="F167" s="946">
        <f t="shared" ref="F167:F175" si="49">E167*C167</f>
        <v>2193</v>
      </c>
      <c r="G167" s="946">
        <v>306</v>
      </c>
      <c r="H167" s="947">
        <f t="shared" ref="H167:H175" si="50">G167*C167</f>
        <v>306</v>
      </c>
      <c r="I167" s="947">
        <f t="shared" ref="I167:I175" si="51">H167+F167</f>
        <v>2499</v>
      </c>
      <c r="J167" s="1066"/>
      <c r="AA167" s="459">
        <f t="shared" si="30"/>
        <v>0</v>
      </c>
      <c r="AB167" s="459">
        <f t="shared" si="30"/>
        <v>0</v>
      </c>
    </row>
    <row r="168" spans="1:28" s="344" customFormat="1" ht="26.25" customHeight="1">
      <c r="A168" s="1066" t="s">
        <v>1959</v>
      </c>
      <c r="B168" s="995" t="s">
        <v>567</v>
      </c>
      <c r="C168" s="1058">
        <v>3</v>
      </c>
      <c r="D168" s="1066" t="s">
        <v>545</v>
      </c>
      <c r="E168" s="946">
        <v>2420</v>
      </c>
      <c r="F168" s="946">
        <f t="shared" si="49"/>
        <v>7260</v>
      </c>
      <c r="G168" s="946">
        <v>306</v>
      </c>
      <c r="H168" s="947">
        <f t="shared" si="50"/>
        <v>918</v>
      </c>
      <c r="I168" s="947">
        <f t="shared" si="51"/>
        <v>8178</v>
      </c>
      <c r="J168" s="1066"/>
      <c r="AA168" s="459">
        <f t="shared" si="30"/>
        <v>0</v>
      </c>
      <c r="AB168" s="459">
        <f t="shared" si="30"/>
        <v>0</v>
      </c>
    </row>
    <row r="169" spans="1:28" s="344" customFormat="1" ht="26.25" customHeight="1">
      <c r="A169" s="1066" t="s">
        <v>1960</v>
      </c>
      <c r="B169" s="995" t="s">
        <v>576</v>
      </c>
      <c r="C169" s="1058">
        <v>30</v>
      </c>
      <c r="D169" s="1066" t="s">
        <v>85</v>
      </c>
      <c r="E169" s="946">
        <v>26.03</v>
      </c>
      <c r="F169" s="946">
        <f t="shared" si="49"/>
        <v>780.90000000000009</v>
      </c>
      <c r="G169" s="946">
        <v>4.0999999999999996</v>
      </c>
      <c r="H169" s="947">
        <f t="shared" si="50"/>
        <v>122.99999999999999</v>
      </c>
      <c r="I169" s="947">
        <f t="shared" si="51"/>
        <v>903.90000000000009</v>
      </c>
      <c r="J169" s="1066"/>
      <c r="AA169" s="459">
        <f t="shared" si="30"/>
        <v>0</v>
      </c>
      <c r="AB169" s="459">
        <f t="shared" si="30"/>
        <v>0</v>
      </c>
    </row>
    <row r="170" spans="1:28" s="344" customFormat="1" ht="26.25" customHeight="1">
      <c r="A170" s="1066" t="s">
        <v>1961</v>
      </c>
      <c r="B170" s="995" t="s">
        <v>574</v>
      </c>
      <c r="C170" s="549">
        <v>105</v>
      </c>
      <c r="D170" s="1066" t="s">
        <v>85</v>
      </c>
      <c r="E170" s="946">
        <v>26.36</v>
      </c>
      <c r="F170" s="946">
        <f t="shared" si="49"/>
        <v>2767.7999999999997</v>
      </c>
      <c r="G170" s="946">
        <v>3.3</v>
      </c>
      <c r="H170" s="947">
        <f t="shared" si="50"/>
        <v>346.5</v>
      </c>
      <c r="I170" s="947">
        <f t="shared" si="51"/>
        <v>3114.2999999999997</v>
      </c>
      <c r="J170" s="1066"/>
      <c r="AA170" s="459">
        <f t="shared" si="30"/>
        <v>0</v>
      </c>
      <c r="AB170" s="459">
        <f t="shared" si="30"/>
        <v>0</v>
      </c>
    </row>
    <row r="171" spans="1:28" s="344" customFormat="1" ht="26.25" customHeight="1">
      <c r="A171" s="1066" t="s">
        <v>1962</v>
      </c>
      <c r="B171" s="995" t="s">
        <v>570</v>
      </c>
      <c r="C171" s="549">
        <f>C172*0.025*35.31</f>
        <v>18.537750000000003</v>
      </c>
      <c r="D171" s="1066" t="s">
        <v>598</v>
      </c>
      <c r="E171" s="946">
        <f>VLOOKUP(B171,$O$2:$Q$13,2,0)</f>
        <v>400</v>
      </c>
      <c r="F171" s="946">
        <f t="shared" si="49"/>
        <v>7415.1000000000013</v>
      </c>
      <c r="G171" s="946">
        <f>VLOOKUP(B171,$O$2:$Q$13,3,0)</f>
        <v>0</v>
      </c>
      <c r="H171" s="947">
        <f t="shared" si="50"/>
        <v>0</v>
      </c>
      <c r="I171" s="947">
        <f t="shared" si="51"/>
        <v>7415.1000000000013</v>
      </c>
      <c r="J171" s="1066"/>
      <c r="AA171" s="459">
        <f t="shared" si="30"/>
        <v>0</v>
      </c>
      <c r="AB171" s="459">
        <f t="shared" si="30"/>
        <v>0</v>
      </c>
    </row>
    <row r="172" spans="1:28" s="344" customFormat="1" ht="26.25" customHeight="1">
      <c r="A172" s="1066" t="s">
        <v>1963</v>
      </c>
      <c r="B172" s="995" t="s">
        <v>1036</v>
      </c>
      <c r="C172" s="549">
        <v>21</v>
      </c>
      <c r="D172" s="1066" t="s">
        <v>278</v>
      </c>
      <c r="E172" s="946">
        <f>VLOOKUP(B172,$O$2:$Q$13,2,0)</f>
        <v>0</v>
      </c>
      <c r="F172" s="946">
        <f t="shared" si="49"/>
        <v>0</v>
      </c>
      <c r="G172" s="946">
        <f>VLOOKUP(B172,$O$2:$Q$13,3,0)</f>
        <v>133</v>
      </c>
      <c r="H172" s="947">
        <f t="shared" si="50"/>
        <v>2793</v>
      </c>
      <c r="I172" s="947">
        <f t="shared" si="51"/>
        <v>2793</v>
      </c>
      <c r="J172" s="1066"/>
      <c r="AA172" s="459">
        <f t="shared" si="30"/>
        <v>21</v>
      </c>
      <c r="AB172" s="459">
        <f t="shared" si="30"/>
        <v>0</v>
      </c>
    </row>
    <row r="173" spans="1:28" s="344" customFormat="1" ht="26.25" customHeight="1">
      <c r="A173" s="1066" t="s">
        <v>1964</v>
      </c>
      <c r="B173" s="995" t="s">
        <v>571</v>
      </c>
      <c r="C173" s="549">
        <v>2</v>
      </c>
      <c r="D173" s="1066" t="s">
        <v>598</v>
      </c>
      <c r="E173" s="946">
        <f>VLOOKUP(B173,$O$2:$Q$13,2,0)</f>
        <v>400</v>
      </c>
      <c r="F173" s="946">
        <f t="shared" si="49"/>
        <v>800</v>
      </c>
      <c r="G173" s="946">
        <f>VLOOKUP(B173,$O$2:$Q$13,3,0)</f>
        <v>0</v>
      </c>
      <c r="H173" s="947">
        <f t="shared" si="50"/>
        <v>0</v>
      </c>
      <c r="I173" s="947">
        <f t="shared" si="51"/>
        <v>800</v>
      </c>
      <c r="J173" s="1066"/>
      <c r="AA173" s="459">
        <f t="shared" si="30"/>
        <v>0</v>
      </c>
      <c r="AB173" s="459">
        <f t="shared" si="30"/>
        <v>0</v>
      </c>
    </row>
    <row r="174" spans="1:28" s="344" customFormat="1" ht="26.25" customHeight="1">
      <c r="A174" s="1066" t="s">
        <v>1965</v>
      </c>
      <c r="B174" s="995" t="s">
        <v>572</v>
      </c>
      <c r="C174" s="1058">
        <v>4</v>
      </c>
      <c r="D174" s="1066" t="s">
        <v>85</v>
      </c>
      <c r="E174" s="946">
        <f>VLOOKUP(B174,$O$2:$Q$13,2,0)</f>
        <v>56.78</v>
      </c>
      <c r="F174" s="946">
        <f t="shared" si="49"/>
        <v>227.12</v>
      </c>
      <c r="G174" s="946">
        <f>VLOOKUP(B174,$O$2:$Q$13,3,0)</f>
        <v>0</v>
      </c>
      <c r="H174" s="947">
        <f t="shared" si="50"/>
        <v>0</v>
      </c>
      <c r="I174" s="947">
        <f t="shared" si="51"/>
        <v>227.12</v>
      </c>
      <c r="J174" s="1066"/>
      <c r="AA174" s="459">
        <f t="shared" si="30"/>
        <v>0</v>
      </c>
      <c r="AB174" s="459">
        <f t="shared" si="30"/>
        <v>0</v>
      </c>
    </row>
    <row r="175" spans="1:28" s="344" customFormat="1" ht="26.25" customHeight="1">
      <c r="A175" s="1066" t="s">
        <v>1966</v>
      </c>
      <c r="B175" s="995" t="s">
        <v>573</v>
      </c>
      <c r="C175" s="1058">
        <v>4</v>
      </c>
      <c r="D175" s="1066" t="s">
        <v>85</v>
      </c>
      <c r="E175" s="946">
        <v>33</v>
      </c>
      <c r="F175" s="946">
        <f t="shared" si="49"/>
        <v>132</v>
      </c>
      <c r="G175" s="946">
        <f>VLOOKUP(B175,$O$2:$Q$13,3,0)</f>
        <v>0</v>
      </c>
      <c r="H175" s="947">
        <f t="shared" si="50"/>
        <v>0</v>
      </c>
      <c r="I175" s="947">
        <f t="shared" si="51"/>
        <v>132</v>
      </c>
      <c r="J175" s="1066"/>
      <c r="AA175" s="459">
        <f t="shared" ref="AA175:AB252" si="52">IF($B175=AA$1,$C175,0)</f>
        <v>0</v>
      </c>
      <c r="AB175" s="459">
        <f t="shared" si="52"/>
        <v>0</v>
      </c>
    </row>
    <row r="176" spans="1:28" s="344" customFormat="1" ht="26.25" customHeight="1">
      <c r="A176" s="1089"/>
      <c r="B176" s="563" t="s">
        <v>1329</v>
      </c>
      <c r="C176" s="1090"/>
      <c r="D176" s="1089"/>
      <c r="E176" s="1091"/>
      <c r="F176" s="1091"/>
      <c r="G176" s="1091"/>
      <c r="H176" s="1092"/>
      <c r="I176" s="1093">
        <f>SUM(I167:I175)</f>
        <v>26062.42</v>
      </c>
      <c r="J176" s="1089"/>
      <c r="AA176" s="459"/>
      <c r="AB176" s="459"/>
    </row>
    <row r="177" spans="1:28" s="344" customFormat="1" ht="26.25" customHeight="1">
      <c r="A177" s="1084" t="s">
        <v>1125</v>
      </c>
      <c r="B177" s="1085" t="s">
        <v>1011</v>
      </c>
      <c r="C177" s="1086"/>
      <c r="D177" s="1084"/>
      <c r="E177" s="1087"/>
      <c r="F177" s="1088"/>
      <c r="G177" s="1087"/>
      <c r="H177" s="1088"/>
      <c r="I177" s="1088"/>
      <c r="J177" s="1084"/>
      <c r="AA177" s="459">
        <f t="shared" si="52"/>
        <v>0</v>
      </c>
      <c r="AB177" s="459">
        <f t="shared" si="52"/>
        <v>0</v>
      </c>
    </row>
    <row r="178" spans="1:28" s="344" customFormat="1" ht="26.25" customHeight="1">
      <c r="A178" s="1066" t="s">
        <v>1967</v>
      </c>
      <c r="B178" s="995" t="s">
        <v>566</v>
      </c>
      <c r="C178" s="1058">
        <v>1</v>
      </c>
      <c r="D178" s="1066" t="s">
        <v>545</v>
      </c>
      <c r="E178" s="946">
        <v>2193</v>
      </c>
      <c r="F178" s="946">
        <f t="shared" ref="F178:F186" si="53">E178*C178</f>
        <v>2193</v>
      </c>
      <c r="G178" s="946">
        <v>306</v>
      </c>
      <c r="H178" s="947">
        <f t="shared" ref="H178:H186" si="54">G178*C178</f>
        <v>306</v>
      </c>
      <c r="I178" s="947">
        <f t="shared" ref="I178:I186" si="55">H178+F178</f>
        <v>2499</v>
      </c>
      <c r="J178" s="1066"/>
      <c r="AA178" s="459">
        <f t="shared" si="52"/>
        <v>0</v>
      </c>
      <c r="AB178" s="459">
        <f t="shared" si="52"/>
        <v>0</v>
      </c>
    </row>
    <row r="179" spans="1:28" s="344" customFormat="1" ht="26.25" customHeight="1">
      <c r="A179" s="1066" t="s">
        <v>1968</v>
      </c>
      <c r="B179" s="995" t="s">
        <v>567</v>
      </c>
      <c r="C179" s="1058">
        <v>3</v>
      </c>
      <c r="D179" s="1066" t="s">
        <v>545</v>
      </c>
      <c r="E179" s="946">
        <v>2420</v>
      </c>
      <c r="F179" s="946">
        <f t="shared" si="53"/>
        <v>7260</v>
      </c>
      <c r="G179" s="946">
        <v>306</v>
      </c>
      <c r="H179" s="947">
        <f t="shared" si="54"/>
        <v>918</v>
      </c>
      <c r="I179" s="947">
        <f t="shared" si="55"/>
        <v>8178</v>
      </c>
      <c r="J179" s="1066"/>
      <c r="AA179" s="459">
        <f t="shared" si="52"/>
        <v>0</v>
      </c>
      <c r="AB179" s="459">
        <f t="shared" si="52"/>
        <v>0</v>
      </c>
    </row>
    <row r="180" spans="1:28" s="344" customFormat="1" ht="26.25" customHeight="1">
      <c r="A180" s="1066" t="s">
        <v>1969</v>
      </c>
      <c r="B180" s="995" t="s">
        <v>576</v>
      </c>
      <c r="C180" s="1058">
        <v>31</v>
      </c>
      <c r="D180" s="1066" t="s">
        <v>85</v>
      </c>
      <c r="E180" s="946">
        <v>26.03</v>
      </c>
      <c r="F180" s="946">
        <f t="shared" si="53"/>
        <v>806.93000000000006</v>
      </c>
      <c r="G180" s="946">
        <v>4.0999999999999996</v>
      </c>
      <c r="H180" s="947">
        <f t="shared" si="54"/>
        <v>127.1</v>
      </c>
      <c r="I180" s="947">
        <f t="shared" si="55"/>
        <v>934.03000000000009</v>
      </c>
      <c r="J180" s="1066"/>
      <c r="AA180" s="459">
        <f t="shared" si="52"/>
        <v>0</v>
      </c>
      <c r="AB180" s="459">
        <f t="shared" si="52"/>
        <v>0</v>
      </c>
    </row>
    <row r="181" spans="1:28" s="344" customFormat="1" ht="26.25" customHeight="1">
      <c r="A181" s="1066" t="s">
        <v>1970</v>
      </c>
      <c r="B181" s="995" t="s">
        <v>574</v>
      </c>
      <c r="C181" s="549">
        <v>126</v>
      </c>
      <c r="D181" s="1066" t="s">
        <v>85</v>
      </c>
      <c r="E181" s="946">
        <v>26.36</v>
      </c>
      <c r="F181" s="946">
        <f t="shared" si="53"/>
        <v>3321.36</v>
      </c>
      <c r="G181" s="946">
        <v>3.3</v>
      </c>
      <c r="H181" s="947">
        <f t="shared" si="54"/>
        <v>415.79999999999995</v>
      </c>
      <c r="I181" s="947">
        <f t="shared" si="55"/>
        <v>3737.16</v>
      </c>
      <c r="J181" s="1066"/>
      <c r="AA181" s="459">
        <f t="shared" si="52"/>
        <v>0</v>
      </c>
      <c r="AB181" s="459">
        <f t="shared" si="52"/>
        <v>0</v>
      </c>
    </row>
    <row r="182" spans="1:28" s="344" customFormat="1" ht="26.25" customHeight="1">
      <c r="A182" s="1066" t="s">
        <v>1971</v>
      </c>
      <c r="B182" s="995" t="s">
        <v>570</v>
      </c>
      <c r="C182" s="549">
        <f>C183*0.025*35.31</f>
        <v>18.537750000000003</v>
      </c>
      <c r="D182" s="1066" t="s">
        <v>598</v>
      </c>
      <c r="E182" s="946">
        <f>VLOOKUP(B182,$O$2:$Q$13,2,0)</f>
        <v>400</v>
      </c>
      <c r="F182" s="946">
        <f t="shared" si="53"/>
        <v>7415.1000000000013</v>
      </c>
      <c r="G182" s="946">
        <f>VLOOKUP(B182,$O$2:$Q$13,3,0)</f>
        <v>0</v>
      </c>
      <c r="H182" s="947">
        <f t="shared" si="54"/>
        <v>0</v>
      </c>
      <c r="I182" s="947">
        <f t="shared" si="55"/>
        <v>7415.1000000000013</v>
      </c>
      <c r="J182" s="1066"/>
      <c r="AA182" s="459">
        <f t="shared" si="52"/>
        <v>0</v>
      </c>
      <c r="AB182" s="459">
        <f t="shared" si="52"/>
        <v>0</v>
      </c>
    </row>
    <row r="183" spans="1:28" s="344" customFormat="1" ht="26.25" customHeight="1">
      <c r="A183" s="1066" t="s">
        <v>1972</v>
      </c>
      <c r="B183" s="995" t="s">
        <v>1036</v>
      </c>
      <c r="C183" s="549">
        <v>21</v>
      </c>
      <c r="D183" s="1066" t="s">
        <v>278</v>
      </c>
      <c r="E183" s="946">
        <f>VLOOKUP(B183,$O$2:$Q$13,2,0)</f>
        <v>0</v>
      </c>
      <c r="F183" s="946">
        <f t="shared" si="53"/>
        <v>0</v>
      </c>
      <c r="G183" s="946">
        <f>VLOOKUP(B183,$O$2:$Q$13,3,0)</f>
        <v>133</v>
      </c>
      <c r="H183" s="947">
        <f t="shared" si="54"/>
        <v>2793</v>
      </c>
      <c r="I183" s="947">
        <f t="shared" si="55"/>
        <v>2793</v>
      </c>
      <c r="J183" s="1066"/>
      <c r="AA183" s="459">
        <f t="shared" si="52"/>
        <v>21</v>
      </c>
      <c r="AB183" s="459">
        <f t="shared" si="52"/>
        <v>0</v>
      </c>
    </row>
    <row r="184" spans="1:28" s="344" customFormat="1" ht="26.25" customHeight="1">
      <c r="A184" s="1066" t="s">
        <v>1973</v>
      </c>
      <c r="B184" s="995" t="s">
        <v>571</v>
      </c>
      <c r="C184" s="549">
        <v>2</v>
      </c>
      <c r="D184" s="1066" t="s">
        <v>598</v>
      </c>
      <c r="E184" s="946">
        <f>VLOOKUP(B184,$O$2:$Q$13,2,0)</f>
        <v>400</v>
      </c>
      <c r="F184" s="946">
        <f t="shared" si="53"/>
        <v>800</v>
      </c>
      <c r="G184" s="946">
        <f>VLOOKUP(B184,$O$2:$Q$13,3,0)</f>
        <v>0</v>
      </c>
      <c r="H184" s="947">
        <f t="shared" si="54"/>
        <v>0</v>
      </c>
      <c r="I184" s="947">
        <f t="shared" si="55"/>
        <v>800</v>
      </c>
      <c r="J184" s="1066"/>
      <c r="AA184" s="459">
        <f t="shared" si="52"/>
        <v>0</v>
      </c>
      <c r="AB184" s="459">
        <f t="shared" si="52"/>
        <v>0</v>
      </c>
    </row>
    <row r="185" spans="1:28" s="344" customFormat="1" ht="26.25" customHeight="1">
      <c r="A185" s="1066" t="s">
        <v>1974</v>
      </c>
      <c r="B185" s="995" t="s">
        <v>572</v>
      </c>
      <c r="C185" s="1058">
        <v>4</v>
      </c>
      <c r="D185" s="1066" t="s">
        <v>85</v>
      </c>
      <c r="E185" s="946">
        <f>VLOOKUP(B185,$O$2:$Q$13,2,0)</f>
        <v>56.78</v>
      </c>
      <c r="F185" s="946">
        <f t="shared" si="53"/>
        <v>227.12</v>
      </c>
      <c r="G185" s="946">
        <f>VLOOKUP(B185,$O$2:$Q$13,3,0)</f>
        <v>0</v>
      </c>
      <c r="H185" s="947">
        <f t="shared" si="54"/>
        <v>0</v>
      </c>
      <c r="I185" s="947">
        <f t="shared" si="55"/>
        <v>227.12</v>
      </c>
      <c r="J185" s="1066"/>
      <c r="AA185" s="459">
        <f t="shared" si="52"/>
        <v>0</v>
      </c>
      <c r="AB185" s="459">
        <f t="shared" si="52"/>
        <v>0</v>
      </c>
    </row>
    <row r="186" spans="1:28" s="344" customFormat="1" ht="26.25" customHeight="1">
      <c r="A186" s="1066" t="s">
        <v>1975</v>
      </c>
      <c r="B186" s="995" t="s">
        <v>573</v>
      </c>
      <c r="C186" s="1058">
        <v>5</v>
      </c>
      <c r="D186" s="1066" t="s">
        <v>85</v>
      </c>
      <c r="E186" s="946">
        <v>33</v>
      </c>
      <c r="F186" s="946">
        <f t="shared" si="53"/>
        <v>165</v>
      </c>
      <c r="G186" s="946">
        <f>VLOOKUP(B186,$O$2:$Q$13,3,0)</f>
        <v>0</v>
      </c>
      <c r="H186" s="947">
        <f t="shared" si="54"/>
        <v>0</v>
      </c>
      <c r="I186" s="947">
        <f t="shared" si="55"/>
        <v>165</v>
      </c>
      <c r="J186" s="1066"/>
      <c r="AA186" s="459">
        <f t="shared" si="52"/>
        <v>0</v>
      </c>
      <c r="AB186" s="459">
        <f t="shared" si="52"/>
        <v>0</v>
      </c>
    </row>
    <row r="187" spans="1:28" s="344" customFormat="1" ht="26.25" customHeight="1">
      <c r="A187" s="1089"/>
      <c r="B187" s="563" t="s">
        <v>1330</v>
      </c>
      <c r="C187" s="1090"/>
      <c r="D187" s="1089"/>
      <c r="E187" s="1091"/>
      <c r="F187" s="1091"/>
      <c r="G187" s="1091"/>
      <c r="H187" s="1092"/>
      <c r="I187" s="1093">
        <f>SUM(I178:I186)</f>
        <v>26748.41</v>
      </c>
      <c r="J187" s="1089"/>
      <c r="AA187" s="459"/>
      <c r="AB187" s="459"/>
    </row>
    <row r="188" spans="1:28" s="344" customFormat="1" ht="26.25" customHeight="1">
      <c r="A188" s="1084" t="s">
        <v>1126</v>
      </c>
      <c r="B188" s="1085" t="s">
        <v>1012</v>
      </c>
      <c r="C188" s="1086"/>
      <c r="D188" s="1084"/>
      <c r="E188" s="1087"/>
      <c r="F188" s="1088"/>
      <c r="G188" s="1087"/>
      <c r="H188" s="1088"/>
      <c r="I188" s="1088"/>
      <c r="J188" s="1084"/>
      <c r="AA188" s="459">
        <f t="shared" si="52"/>
        <v>0</v>
      </c>
      <c r="AB188" s="459">
        <f t="shared" si="52"/>
        <v>0</v>
      </c>
    </row>
    <row r="189" spans="1:28" s="344" customFormat="1" ht="26.25" customHeight="1">
      <c r="A189" s="1066" t="s">
        <v>1976</v>
      </c>
      <c r="B189" s="995" t="s">
        <v>566</v>
      </c>
      <c r="C189" s="1058">
        <v>1</v>
      </c>
      <c r="D189" s="1066" t="s">
        <v>545</v>
      </c>
      <c r="E189" s="946">
        <v>2193</v>
      </c>
      <c r="F189" s="946">
        <f t="shared" ref="F189:F197" si="56">E189*C189</f>
        <v>2193</v>
      </c>
      <c r="G189" s="946">
        <v>306</v>
      </c>
      <c r="H189" s="947">
        <f t="shared" ref="H189:H197" si="57">G189*C189</f>
        <v>306</v>
      </c>
      <c r="I189" s="947">
        <f t="shared" ref="I189:I197" si="58">H189+F189</f>
        <v>2499</v>
      </c>
      <c r="J189" s="1066"/>
      <c r="AA189" s="459">
        <f t="shared" si="52"/>
        <v>0</v>
      </c>
      <c r="AB189" s="459">
        <f t="shared" si="52"/>
        <v>0</v>
      </c>
    </row>
    <row r="190" spans="1:28" s="344" customFormat="1" ht="26.25" customHeight="1">
      <c r="A190" s="1066" t="s">
        <v>1977</v>
      </c>
      <c r="B190" s="995" t="s">
        <v>567</v>
      </c>
      <c r="C190" s="1058">
        <v>2</v>
      </c>
      <c r="D190" s="1066" t="s">
        <v>545</v>
      </c>
      <c r="E190" s="946">
        <v>2420</v>
      </c>
      <c r="F190" s="946">
        <f t="shared" si="56"/>
        <v>4840</v>
      </c>
      <c r="G190" s="946">
        <v>306</v>
      </c>
      <c r="H190" s="947">
        <f t="shared" si="57"/>
        <v>612</v>
      </c>
      <c r="I190" s="947">
        <f t="shared" si="58"/>
        <v>5452</v>
      </c>
      <c r="J190" s="1066"/>
      <c r="AA190" s="459">
        <f t="shared" si="52"/>
        <v>0</v>
      </c>
      <c r="AB190" s="459">
        <f t="shared" si="52"/>
        <v>0</v>
      </c>
    </row>
    <row r="191" spans="1:28" s="344" customFormat="1" ht="26.25" customHeight="1">
      <c r="A191" s="1066" t="s">
        <v>1978</v>
      </c>
      <c r="B191" s="995" t="s">
        <v>568</v>
      </c>
      <c r="C191" s="1058">
        <v>54</v>
      </c>
      <c r="D191" s="1066" t="s">
        <v>85</v>
      </c>
      <c r="E191" s="946">
        <v>25.09</v>
      </c>
      <c r="F191" s="946">
        <f t="shared" si="56"/>
        <v>1354.86</v>
      </c>
      <c r="G191" s="946">
        <v>4.0999999999999996</v>
      </c>
      <c r="H191" s="947">
        <f t="shared" si="57"/>
        <v>221.39999999999998</v>
      </c>
      <c r="I191" s="947">
        <f t="shared" si="58"/>
        <v>1576.2599999999998</v>
      </c>
      <c r="J191" s="1066"/>
      <c r="AA191" s="459">
        <f t="shared" si="52"/>
        <v>0</v>
      </c>
      <c r="AB191" s="459">
        <f t="shared" si="52"/>
        <v>0</v>
      </c>
    </row>
    <row r="192" spans="1:28" s="344" customFormat="1" ht="26.25" customHeight="1">
      <c r="A192" s="1066" t="s">
        <v>1979</v>
      </c>
      <c r="B192" s="995" t="s">
        <v>574</v>
      </c>
      <c r="C192" s="549">
        <v>147</v>
      </c>
      <c r="D192" s="1066" t="s">
        <v>85</v>
      </c>
      <c r="E192" s="946">
        <v>26.36</v>
      </c>
      <c r="F192" s="946">
        <f t="shared" si="56"/>
        <v>3874.92</v>
      </c>
      <c r="G192" s="946">
        <v>3.3</v>
      </c>
      <c r="H192" s="947">
        <f t="shared" si="57"/>
        <v>485.09999999999997</v>
      </c>
      <c r="I192" s="947">
        <f t="shared" si="58"/>
        <v>4360.0200000000004</v>
      </c>
      <c r="J192" s="1066"/>
      <c r="AA192" s="459">
        <f t="shared" si="52"/>
        <v>0</v>
      </c>
      <c r="AB192" s="459">
        <f t="shared" si="52"/>
        <v>0</v>
      </c>
    </row>
    <row r="193" spans="1:28" s="344" customFormat="1" ht="26.25" customHeight="1">
      <c r="A193" s="1066" t="s">
        <v>1980</v>
      </c>
      <c r="B193" s="995" t="s">
        <v>570</v>
      </c>
      <c r="C193" s="549">
        <f>C194*0.025*35.31</f>
        <v>12.358500000000001</v>
      </c>
      <c r="D193" s="1066" t="s">
        <v>598</v>
      </c>
      <c r="E193" s="946">
        <f>VLOOKUP(B193,$O$2:$Q$13,2,0)</f>
        <v>400</v>
      </c>
      <c r="F193" s="946">
        <f t="shared" si="56"/>
        <v>4943.4000000000005</v>
      </c>
      <c r="G193" s="946">
        <f>VLOOKUP(B193,$O$2:$Q$13,3,0)</f>
        <v>0</v>
      </c>
      <c r="H193" s="947">
        <f t="shared" si="57"/>
        <v>0</v>
      </c>
      <c r="I193" s="947">
        <f t="shared" si="58"/>
        <v>4943.4000000000005</v>
      </c>
      <c r="J193" s="1066"/>
      <c r="AA193" s="459">
        <f t="shared" si="52"/>
        <v>0</v>
      </c>
      <c r="AB193" s="459">
        <f t="shared" si="52"/>
        <v>0</v>
      </c>
    </row>
    <row r="194" spans="1:28" s="344" customFormat="1" ht="26.25" customHeight="1">
      <c r="A194" s="1066" t="s">
        <v>1981</v>
      </c>
      <c r="B194" s="995" t="s">
        <v>1036</v>
      </c>
      <c r="C194" s="549">
        <v>14</v>
      </c>
      <c r="D194" s="1066" t="s">
        <v>278</v>
      </c>
      <c r="E194" s="946">
        <f>VLOOKUP(B194,$O$2:$Q$13,2,0)</f>
        <v>0</v>
      </c>
      <c r="F194" s="946">
        <f t="shared" si="56"/>
        <v>0</v>
      </c>
      <c r="G194" s="946">
        <f>VLOOKUP(B194,$O$2:$Q$13,3,0)</f>
        <v>133</v>
      </c>
      <c r="H194" s="947">
        <f t="shared" si="57"/>
        <v>1862</v>
      </c>
      <c r="I194" s="947">
        <f t="shared" si="58"/>
        <v>1862</v>
      </c>
      <c r="J194" s="1066"/>
      <c r="AA194" s="459">
        <f t="shared" si="52"/>
        <v>14</v>
      </c>
      <c r="AB194" s="459">
        <f t="shared" si="52"/>
        <v>0</v>
      </c>
    </row>
    <row r="195" spans="1:28" s="344" customFormat="1" ht="26.25" customHeight="1">
      <c r="A195" s="1066" t="s">
        <v>1982</v>
      </c>
      <c r="B195" s="995" t="s">
        <v>571</v>
      </c>
      <c r="C195" s="549">
        <v>2</v>
      </c>
      <c r="D195" s="1066" t="s">
        <v>598</v>
      </c>
      <c r="E195" s="946">
        <f>VLOOKUP(B195,$O$2:$Q$13,2,0)</f>
        <v>400</v>
      </c>
      <c r="F195" s="946">
        <f t="shared" si="56"/>
        <v>800</v>
      </c>
      <c r="G195" s="946">
        <f>VLOOKUP(B195,$O$2:$Q$13,3,0)</f>
        <v>0</v>
      </c>
      <c r="H195" s="947">
        <f t="shared" si="57"/>
        <v>0</v>
      </c>
      <c r="I195" s="947">
        <f t="shared" si="58"/>
        <v>800</v>
      </c>
      <c r="J195" s="1066"/>
      <c r="AA195" s="459">
        <f t="shared" si="52"/>
        <v>0</v>
      </c>
      <c r="AB195" s="459">
        <f t="shared" si="52"/>
        <v>0</v>
      </c>
    </row>
    <row r="196" spans="1:28" s="344" customFormat="1" ht="26.25" customHeight="1">
      <c r="A196" s="1066" t="s">
        <v>1983</v>
      </c>
      <c r="B196" s="995" t="s">
        <v>572</v>
      </c>
      <c r="C196" s="1058">
        <v>3</v>
      </c>
      <c r="D196" s="1066" t="s">
        <v>85</v>
      </c>
      <c r="E196" s="946">
        <f>VLOOKUP(B196,$O$2:$Q$13,2,0)</f>
        <v>56.78</v>
      </c>
      <c r="F196" s="946">
        <f t="shared" si="56"/>
        <v>170.34</v>
      </c>
      <c r="G196" s="946">
        <f>VLOOKUP(B196,$O$2:$Q$13,3,0)</f>
        <v>0</v>
      </c>
      <c r="H196" s="947">
        <f t="shared" si="57"/>
        <v>0</v>
      </c>
      <c r="I196" s="947">
        <f t="shared" si="58"/>
        <v>170.34</v>
      </c>
      <c r="J196" s="1066"/>
      <c r="AA196" s="459">
        <f t="shared" si="52"/>
        <v>0</v>
      </c>
      <c r="AB196" s="459">
        <f t="shared" si="52"/>
        <v>0</v>
      </c>
    </row>
    <row r="197" spans="1:28" s="344" customFormat="1" ht="26.25" customHeight="1">
      <c r="A197" s="1066" t="s">
        <v>1984</v>
      </c>
      <c r="B197" s="995" t="s">
        <v>573</v>
      </c>
      <c r="C197" s="1058">
        <v>6</v>
      </c>
      <c r="D197" s="1066" t="s">
        <v>85</v>
      </c>
      <c r="E197" s="946">
        <v>33</v>
      </c>
      <c r="F197" s="946">
        <f t="shared" si="56"/>
        <v>198</v>
      </c>
      <c r="G197" s="946">
        <f>VLOOKUP(B197,$O$2:$Q$13,3,0)</f>
        <v>0</v>
      </c>
      <c r="H197" s="947">
        <f t="shared" si="57"/>
        <v>0</v>
      </c>
      <c r="I197" s="947">
        <f t="shared" si="58"/>
        <v>198</v>
      </c>
      <c r="J197" s="1066"/>
      <c r="AA197" s="459">
        <f t="shared" si="52"/>
        <v>0</v>
      </c>
      <c r="AB197" s="459">
        <f t="shared" si="52"/>
        <v>0</v>
      </c>
    </row>
    <row r="198" spans="1:28" s="344" customFormat="1" ht="26.25" customHeight="1">
      <c r="A198" s="1089"/>
      <c r="B198" s="563" t="s">
        <v>1331</v>
      </c>
      <c r="C198" s="1090"/>
      <c r="D198" s="1089"/>
      <c r="E198" s="1091"/>
      <c r="F198" s="1091"/>
      <c r="G198" s="1091"/>
      <c r="H198" s="1092"/>
      <c r="I198" s="1093">
        <f>SUM(I189:I197)</f>
        <v>21861.02</v>
      </c>
      <c r="J198" s="1089"/>
      <c r="AA198" s="459"/>
      <c r="AB198" s="459"/>
    </row>
    <row r="199" spans="1:28" s="344" customFormat="1" ht="26.25" customHeight="1">
      <c r="A199" s="1084" t="s">
        <v>1127</v>
      </c>
      <c r="B199" s="1085" t="s">
        <v>1013</v>
      </c>
      <c r="C199" s="1086"/>
      <c r="D199" s="1084"/>
      <c r="E199" s="1087"/>
      <c r="F199" s="1088"/>
      <c r="G199" s="1087"/>
      <c r="H199" s="1088"/>
      <c r="I199" s="1088"/>
      <c r="J199" s="1084"/>
      <c r="AA199" s="459">
        <f t="shared" si="52"/>
        <v>0</v>
      </c>
      <c r="AB199" s="459">
        <f t="shared" si="52"/>
        <v>0</v>
      </c>
    </row>
    <row r="200" spans="1:28" s="344" customFormat="1" ht="26.25" customHeight="1">
      <c r="A200" s="1066" t="s">
        <v>1985</v>
      </c>
      <c r="B200" s="995" t="s">
        <v>566</v>
      </c>
      <c r="C200" s="1058">
        <v>1</v>
      </c>
      <c r="D200" s="1066" t="s">
        <v>545</v>
      </c>
      <c r="E200" s="946">
        <v>2193</v>
      </c>
      <c r="F200" s="946">
        <f t="shared" ref="F200:F208" si="59">E200*C200</f>
        <v>2193</v>
      </c>
      <c r="G200" s="946">
        <v>306</v>
      </c>
      <c r="H200" s="947">
        <f t="shared" ref="H200:H208" si="60">G200*C200</f>
        <v>306</v>
      </c>
      <c r="I200" s="947">
        <f t="shared" ref="I200:I208" si="61">H200+F200</f>
        <v>2499</v>
      </c>
      <c r="J200" s="1066"/>
      <c r="AA200" s="459">
        <f t="shared" si="52"/>
        <v>0</v>
      </c>
      <c r="AB200" s="459">
        <f t="shared" si="52"/>
        <v>0</v>
      </c>
    </row>
    <row r="201" spans="1:28" s="344" customFormat="1" ht="26.25" customHeight="1">
      <c r="A201" s="1066" t="s">
        <v>1986</v>
      </c>
      <c r="B201" s="995" t="s">
        <v>567</v>
      </c>
      <c r="C201" s="1058">
        <v>5</v>
      </c>
      <c r="D201" s="1066" t="s">
        <v>545</v>
      </c>
      <c r="E201" s="946">
        <v>2420</v>
      </c>
      <c r="F201" s="946">
        <f t="shared" si="59"/>
        <v>12100</v>
      </c>
      <c r="G201" s="946">
        <v>306</v>
      </c>
      <c r="H201" s="947">
        <f t="shared" si="60"/>
        <v>1530</v>
      </c>
      <c r="I201" s="947">
        <f t="shared" si="61"/>
        <v>13630</v>
      </c>
      <c r="J201" s="1066"/>
      <c r="AA201" s="459">
        <f t="shared" si="52"/>
        <v>0</v>
      </c>
      <c r="AB201" s="459">
        <f t="shared" si="52"/>
        <v>0</v>
      </c>
    </row>
    <row r="202" spans="1:28" s="344" customFormat="1" ht="26.25" customHeight="1">
      <c r="A202" s="1066" t="s">
        <v>1987</v>
      </c>
      <c r="B202" s="995" t="s">
        <v>576</v>
      </c>
      <c r="C202" s="1058">
        <v>65</v>
      </c>
      <c r="D202" s="1066" t="s">
        <v>85</v>
      </c>
      <c r="E202" s="946">
        <v>26.03</v>
      </c>
      <c r="F202" s="946">
        <f t="shared" si="59"/>
        <v>1691.95</v>
      </c>
      <c r="G202" s="946">
        <v>4.0999999999999996</v>
      </c>
      <c r="H202" s="947">
        <f t="shared" si="60"/>
        <v>266.5</v>
      </c>
      <c r="I202" s="947">
        <f t="shared" si="61"/>
        <v>1958.45</v>
      </c>
      <c r="J202" s="1066"/>
      <c r="AA202" s="459">
        <f t="shared" si="52"/>
        <v>0</v>
      </c>
      <c r="AB202" s="459">
        <f t="shared" si="52"/>
        <v>0</v>
      </c>
    </row>
    <row r="203" spans="1:28" s="344" customFormat="1" ht="26.25" customHeight="1">
      <c r="A203" s="1066" t="s">
        <v>1988</v>
      </c>
      <c r="B203" s="995" t="s">
        <v>574</v>
      </c>
      <c r="C203" s="549">
        <v>350</v>
      </c>
      <c r="D203" s="1066" t="s">
        <v>85</v>
      </c>
      <c r="E203" s="946">
        <v>26.36</v>
      </c>
      <c r="F203" s="946">
        <f t="shared" si="59"/>
        <v>9226</v>
      </c>
      <c r="G203" s="946">
        <v>3.3</v>
      </c>
      <c r="H203" s="947">
        <f t="shared" si="60"/>
        <v>1155</v>
      </c>
      <c r="I203" s="947">
        <f t="shared" si="61"/>
        <v>10381</v>
      </c>
      <c r="J203" s="1066"/>
      <c r="AA203" s="459">
        <f t="shared" si="52"/>
        <v>0</v>
      </c>
      <c r="AB203" s="459">
        <f t="shared" si="52"/>
        <v>0</v>
      </c>
    </row>
    <row r="204" spans="1:28" s="344" customFormat="1" ht="26.25" customHeight="1">
      <c r="A204" s="1066" t="s">
        <v>1989</v>
      </c>
      <c r="B204" s="995" t="s">
        <v>570</v>
      </c>
      <c r="C204" s="549">
        <f>C205*0.025*35.31</f>
        <v>35.31</v>
      </c>
      <c r="D204" s="1066" t="s">
        <v>598</v>
      </c>
      <c r="E204" s="946">
        <f>VLOOKUP(B204,$O$2:$Q$13,2,0)</f>
        <v>400</v>
      </c>
      <c r="F204" s="946">
        <f t="shared" si="59"/>
        <v>14124</v>
      </c>
      <c r="G204" s="946">
        <f>VLOOKUP(B204,$O$2:$Q$13,3,0)</f>
        <v>0</v>
      </c>
      <c r="H204" s="947">
        <f t="shared" si="60"/>
        <v>0</v>
      </c>
      <c r="I204" s="947">
        <f t="shared" si="61"/>
        <v>14124</v>
      </c>
      <c r="J204" s="1066"/>
      <c r="AA204" s="459">
        <f t="shared" si="52"/>
        <v>0</v>
      </c>
      <c r="AB204" s="459">
        <f t="shared" si="52"/>
        <v>0</v>
      </c>
    </row>
    <row r="205" spans="1:28" s="344" customFormat="1" ht="26.25" customHeight="1">
      <c r="A205" s="1066" t="s">
        <v>1990</v>
      </c>
      <c r="B205" s="995" t="s">
        <v>1036</v>
      </c>
      <c r="C205" s="549">
        <v>40</v>
      </c>
      <c r="D205" s="1066" t="s">
        <v>278</v>
      </c>
      <c r="E205" s="946">
        <f>VLOOKUP(B205,$O$2:$Q$13,2,0)</f>
        <v>0</v>
      </c>
      <c r="F205" s="946">
        <f t="shared" si="59"/>
        <v>0</v>
      </c>
      <c r="G205" s="946">
        <f>VLOOKUP(B205,$O$2:$Q$13,3,0)</f>
        <v>133</v>
      </c>
      <c r="H205" s="947">
        <f t="shared" si="60"/>
        <v>5320</v>
      </c>
      <c r="I205" s="947">
        <f t="shared" si="61"/>
        <v>5320</v>
      </c>
      <c r="J205" s="1066"/>
      <c r="AA205" s="459">
        <f t="shared" si="52"/>
        <v>40</v>
      </c>
      <c r="AB205" s="459">
        <f t="shared" si="52"/>
        <v>0</v>
      </c>
    </row>
    <row r="206" spans="1:28" s="344" customFormat="1" ht="26.25" customHeight="1">
      <c r="A206" s="1066" t="s">
        <v>1991</v>
      </c>
      <c r="B206" s="995" t="s">
        <v>571</v>
      </c>
      <c r="C206" s="549">
        <v>4</v>
      </c>
      <c r="D206" s="1066" t="s">
        <v>598</v>
      </c>
      <c r="E206" s="946">
        <f>VLOOKUP(B206,$O$2:$Q$13,2,0)</f>
        <v>400</v>
      </c>
      <c r="F206" s="946">
        <f t="shared" si="59"/>
        <v>1600</v>
      </c>
      <c r="G206" s="946">
        <f>VLOOKUP(B206,$O$2:$Q$13,3,0)</f>
        <v>0</v>
      </c>
      <c r="H206" s="947">
        <f t="shared" si="60"/>
        <v>0</v>
      </c>
      <c r="I206" s="947">
        <f t="shared" si="61"/>
        <v>1600</v>
      </c>
      <c r="J206" s="1066"/>
      <c r="AA206" s="459">
        <f t="shared" si="52"/>
        <v>0</v>
      </c>
      <c r="AB206" s="459">
        <f t="shared" si="52"/>
        <v>0</v>
      </c>
    </row>
    <row r="207" spans="1:28" s="344" customFormat="1" ht="26.25" customHeight="1">
      <c r="A207" s="1066" t="s">
        <v>1992</v>
      </c>
      <c r="B207" s="995" t="s">
        <v>572</v>
      </c>
      <c r="C207" s="1058">
        <v>8</v>
      </c>
      <c r="D207" s="1066" t="s">
        <v>85</v>
      </c>
      <c r="E207" s="946">
        <f>VLOOKUP(B207,$O$2:$Q$13,2,0)</f>
        <v>56.78</v>
      </c>
      <c r="F207" s="946">
        <f t="shared" si="59"/>
        <v>454.24</v>
      </c>
      <c r="G207" s="946">
        <f>VLOOKUP(B207,$O$2:$Q$13,3,0)</f>
        <v>0</v>
      </c>
      <c r="H207" s="947">
        <f t="shared" si="60"/>
        <v>0</v>
      </c>
      <c r="I207" s="947">
        <f t="shared" si="61"/>
        <v>454.24</v>
      </c>
      <c r="J207" s="1066"/>
      <c r="AA207" s="459">
        <f t="shared" si="52"/>
        <v>0</v>
      </c>
      <c r="AB207" s="459">
        <f t="shared" si="52"/>
        <v>0</v>
      </c>
    </row>
    <row r="208" spans="1:28" s="344" customFormat="1" ht="26.25" customHeight="1">
      <c r="A208" s="1066" t="s">
        <v>1993</v>
      </c>
      <c r="B208" s="995" t="s">
        <v>573</v>
      </c>
      <c r="C208" s="1058">
        <v>13</v>
      </c>
      <c r="D208" s="1066" t="s">
        <v>85</v>
      </c>
      <c r="E208" s="946">
        <v>33</v>
      </c>
      <c r="F208" s="946">
        <f t="shared" si="59"/>
        <v>429</v>
      </c>
      <c r="G208" s="946">
        <f>VLOOKUP(B208,$O$2:$Q$13,3,0)</f>
        <v>0</v>
      </c>
      <c r="H208" s="947">
        <f t="shared" si="60"/>
        <v>0</v>
      </c>
      <c r="I208" s="947">
        <f t="shared" si="61"/>
        <v>429</v>
      </c>
      <c r="J208" s="1066"/>
      <c r="AA208" s="459">
        <f t="shared" si="52"/>
        <v>0</v>
      </c>
      <c r="AB208" s="459">
        <f t="shared" si="52"/>
        <v>0</v>
      </c>
    </row>
    <row r="209" spans="1:28" s="344" customFormat="1" ht="26.25" customHeight="1">
      <c r="A209" s="1089"/>
      <c r="B209" s="563" t="s">
        <v>1332</v>
      </c>
      <c r="C209" s="1090"/>
      <c r="D209" s="1089"/>
      <c r="E209" s="1091"/>
      <c r="F209" s="1091"/>
      <c r="G209" s="1091"/>
      <c r="H209" s="1092"/>
      <c r="I209" s="1093">
        <f>SUM(I200:I208)</f>
        <v>50395.689999999995</v>
      </c>
      <c r="J209" s="1089"/>
      <c r="AA209" s="459"/>
      <c r="AB209" s="459"/>
    </row>
    <row r="210" spans="1:28" s="344" customFormat="1" ht="26.25" customHeight="1">
      <c r="A210" s="1084" t="s">
        <v>1128</v>
      </c>
      <c r="B210" s="1085" t="s">
        <v>1014</v>
      </c>
      <c r="C210" s="1086"/>
      <c r="D210" s="1084"/>
      <c r="E210" s="1087"/>
      <c r="F210" s="1088"/>
      <c r="G210" s="1087"/>
      <c r="H210" s="1088"/>
      <c r="I210" s="1088"/>
      <c r="J210" s="1084"/>
      <c r="AA210" s="459">
        <f t="shared" si="52"/>
        <v>0</v>
      </c>
      <c r="AB210" s="459">
        <f t="shared" si="52"/>
        <v>0</v>
      </c>
    </row>
    <row r="211" spans="1:28" s="344" customFormat="1" ht="26.25" customHeight="1">
      <c r="A211" s="1066" t="s">
        <v>1994</v>
      </c>
      <c r="B211" s="995" t="s">
        <v>566</v>
      </c>
      <c r="C211" s="1058">
        <v>1</v>
      </c>
      <c r="D211" s="1066" t="s">
        <v>545</v>
      </c>
      <c r="E211" s="946">
        <v>2193</v>
      </c>
      <c r="F211" s="946">
        <f t="shared" ref="F211:F219" si="62">E211*C211</f>
        <v>2193</v>
      </c>
      <c r="G211" s="946">
        <v>306</v>
      </c>
      <c r="H211" s="947">
        <f t="shared" ref="H211:H219" si="63">G211*C211</f>
        <v>306</v>
      </c>
      <c r="I211" s="947">
        <f t="shared" ref="I211:I219" si="64">H211+F211</f>
        <v>2499</v>
      </c>
      <c r="J211" s="1066"/>
      <c r="AA211" s="459">
        <f t="shared" si="52"/>
        <v>0</v>
      </c>
      <c r="AB211" s="459">
        <f t="shared" si="52"/>
        <v>0</v>
      </c>
    </row>
    <row r="212" spans="1:28" s="344" customFormat="1" ht="26.25" customHeight="1">
      <c r="A212" s="1066" t="s">
        <v>1995</v>
      </c>
      <c r="B212" s="995" t="s">
        <v>567</v>
      </c>
      <c r="C212" s="1058">
        <v>6</v>
      </c>
      <c r="D212" s="1066" t="s">
        <v>545</v>
      </c>
      <c r="E212" s="946">
        <v>2420</v>
      </c>
      <c r="F212" s="946">
        <f t="shared" si="62"/>
        <v>14520</v>
      </c>
      <c r="G212" s="946">
        <v>306</v>
      </c>
      <c r="H212" s="947">
        <f t="shared" si="63"/>
        <v>1836</v>
      </c>
      <c r="I212" s="947">
        <f t="shared" si="64"/>
        <v>16356</v>
      </c>
      <c r="J212" s="1066"/>
      <c r="AA212" s="459">
        <f t="shared" si="52"/>
        <v>0</v>
      </c>
      <c r="AB212" s="459">
        <f t="shared" si="52"/>
        <v>0</v>
      </c>
    </row>
    <row r="213" spans="1:28" s="344" customFormat="1" ht="26.25" customHeight="1">
      <c r="A213" s="1066" t="s">
        <v>1996</v>
      </c>
      <c r="B213" s="995" t="s">
        <v>576</v>
      </c>
      <c r="C213" s="1058">
        <v>66</v>
      </c>
      <c r="D213" s="1066" t="s">
        <v>85</v>
      </c>
      <c r="E213" s="946">
        <v>26.03</v>
      </c>
      <c r="F213" s="946">
        <f t="shared" si="62"/>
        <v>1717.98</v>
      </c>
      <c r="G213" s="946">
        <v>4.0999999999999996</v>
      </c>
      <c r="H213" s="947">
        <f t="shared" si="63"/>
        <v>270.59999999999997</v>
      </c>
      <c r="I213" s="947">
        <f t="shared" si="64"/>
        <v>1988.58</v>
      </c>
      <c r="J213" s="1066"/>
      <c r="AA213" s="459">
        <f t="shared" si="52"/>
        <v>0</v>
      </c>
      <c r="AB213" s="459">
        <f t="shared" si="52"/>
        <v>0</v>
      </c>
    </row>
    <row r="214" spans="1:28" s="344" customFormat="1" ht="26.25" customHeight="1">
      <c r="A214" s="1066" t="s">
        <v>1997</v>
      </c>
      <c r="B214" s="995" t="s">
        <v>574</v>
      </c>
      <c r="C214" s="549">
        <v>221</v>
      </c>
      <c r="D214" s="1066" t="s">
        <v>85</v>
      </c>
      <c r="E214" s="946">
        <v>26.36</v>
      </c>
      <c r="F214" s="946">
        <f t="shared" si="62"/>
        <v>5825.5599999999995</v>
      </c>
      <c r="G214" s="946">
        <v>3.3</v>
      </c>
      <c r="H214" s="947">
        <f t="shared" si="63"/>
        <v>729.3</v>
      </c>
      <c r="I214" s="947">
        <f t="shared" si="64"/>
        <v>6554.86</v>
      </c>
      <c r="J214" s="1066"/>
      <c r="AA214" s="459">
        <f t="shared" si="52"/>
        <v>0</v>
      </c>
      <c r="AB214" s="459">
        <f t="shared" si="52"/>
        <v>0</v>
      </c>
    </row>
    <row r="215" spans="1:28" s="344" customFormat="1" ht="26.25" customHeight="1">
      <c r="A215" s="1066" t="s">
        <v>1998</v>
      </c>
      <c r="B215" s="995" t="s">
        <v>570</v>
      </c>
      <c r="C215" s="549">
        <f>C216*0.025*35.31</f>
        <v>40.606500000000004</v>
      </c>
      <c r="D215" s="1066" t="s">
        <v>598</v>
      </c>
      <c r="E215" s="946">
        <f>VLOOKUP(B215,$O$2:$Q$13,2,0)</f>
        <v>400</v>
      </c>
      <c r="F215" s="946">
        <f t="shared" si="62"/>
        <v>16242.600000000002</v>
      </c>
      <c r="G215" s="946">
        <f>VLOOKUP(B215,$O$2:$Q$13,3,0)</f>
        <v>0</v>
      </c>
      <c r="H215" s="947">
        <f t="shared" si="63"/>
        <v>0</v>
      </c>
      <c r="I215" s="947">
        <f t="shared" si="64"/>
        <v>16242.600000000002</v>
      </c>
      <c r="J215" s="1066"/>
      <c r="AA215" s="459">
        <f t="shared" si="52"/>
        <v>0</v>
      </c>
      <c r="AB215" s="459">
        <f t="shared" si="52"/>
        <v>0</v>
      </c>
    </row>
    <row r="216" spans="1:28" s="344" customFormat="1" ht="26.25" customHeight="1">
      <c r="A216" s="1066" t="s">
        <v>1999</v>
      </c>
      <c r="B216" s="995" t="s">
        <v>1036</v>
      </c>
      <c r="C216" s="549">
        <v>46</v>
      </c>
      <c r="D216" s="1066" t="s">
        <v>278</v>
      </c>
      <c r="E216" s="946">
        <f>VLOOKUP(B216,$O$2:$Q$13,2,0)</f>
        <v>0</v>
      </c>
      <c r="F216" s="946">
        <f t="shared" si="62"/>
        <v>0</v>
      </c>
      <c r="G216" s="946">
        <f>VLOOKUP(B216,$O$2:$Q$13,3,0)</f>
        <v>133</v>
      </c>
      <c r="H216" s="947">
        <f t="shared" si="63"/>
        <v>6118</v>
      </c>
      <c r="I216" s="947">
        <f t="shared" si="64"/>
        <v>6118</v>
      </c>
      <c r="J216" s="1066"/>
      <c r="AA216" s="459">
        <f t="shared" si="52"/>
        <v>46</v>
      </c>
      <c r="AB216" s="459">
        <f t="shared" si="52"/>
        <v>0</v>
      </c>
    </row>
    <row r="217" spans="1:28" s="344" customFormat="1" ht="26.25" customHeight="1">
      <c r="A217" s="1066" t="s">
        <v>2000</v>
      </c>
      <c r="B217" s="995" t="s">
        <v>571</v>
      </c>
      <c r="C217" s="549">
        <v>5</v>
      </c>
      <c r="D217" s="1066" t="s">
        <v>598</v>
      </c>
      <c r="E217" s="946">
        <f>VLOOKUP(B217,$O$2:$Q$13,2,0)</f>
        <v>400</v>
      </c>
      <c r="F217" s="946">
        <f t="shared" si="62"/>
        <v>2000</v>
      </c>
      <c r="G217" s="946">
        <f>VLOOKUP(B217,$O$2:$Q$13,3,0)</f>
        <v>0</v>
      </c>
      <c r="H217" s="947">
        <f t="shared" si="63"/>
        <v>0</v>
      </c>
      <c r="I217" s="947">
        <f t="shared" si="64"/>
        <v>2000</v>
      </c>
      <c r="J217" s="1066"/>
      <c r="AA217" s="459">
        <f t="shared" si="52"/>
        <v>0</v>
      </c>
      <c r="AB217" s="459">
        <f t="shared" si="52"/>
        <v>0</v>
      </c>
    </row>
    <row r="218" spans="1:28" s="344" customFormat="1" ht="26.25" customHeight="1">
      <c r="A218" s="1066" t="s">
        <v>2001</v>
      </c>
      <c r="B218" s="995" t="s">
        <v>572</v>
      </c>
      <c r="C218" s="1058">
        <v>9</v>
      </c>
      <c r="D218" s="1066" t="s">
        <v>85</v>
      </c>
      <c r="E218" s="946">
        <f>VLOOKUP(B218,$O$2:$Q$13,2,0)</f>
        <v>56.78</v>
      </c>
      <c r="F218" s="946">
        <f t="shared" si="62"/>
        <v>511.02</v>
      </c>
      <c r="G218" s="946">
        <f>VLOOKUP(B218,$O$2:$Q$13,3,0)</f>
        <v>0</v>
      </c>
      <c r="H218" s="947">
        <f t="shared" si="63"/>
        <v>0</v>
      </c>
      <c r="I218" s="947">
        <f t="shared" si="64"/>
        <v>511.02</v>
      </c>
      <c r="J218" s="1066"/>
      <c r="AA218" s="459">
        <f t="shared" si="52"/>
        <v>0</v>
      </c>
      <c r="AB218" s="459">
        <f t="shared" si="52"/>
        <v>0</v>
      </c>
    </row>
    <row r="219" spans="1:28" s="344" customFormat="1" ht="26.25" customHeight="1">
      <c r="A219" s="1066" t="s">
        <v>2002</v>
      </c>
      <c r="B219" s="995" t="s">
        <v>573</v>
      </c>
      <c r="C219" s="1058">
        <v>9</v>
      </c>
      <c r="D219" s="1066" t="s">
        <v>85</v>
      </c>
      <c r="E219" s="946">
        <v>33</v>
      </c>
      <c r="F219" s="946">
        <f t="shared" si="62"/>
        <v>297</v>
      </c>
      <c r="G219" s="946">
        <f>VLOOKUP(B219,$O$2:$Q$13,3,0)</f>
        <v>0</v>
      </c>
      <c r="H219" s="947">
        <f t="shared" si="63"/>
        <v>0</v>
      </c>
      <c r="I219" s="947">
        <f t="shared" si="64"/>
        <v>297</v>
      </c>
      <c r="J219" s="1066"/>
      <c r="AA219" s="459">
        <f t="shared" si="52"/>
        <v>0</v>
      </c>
      <c r="AB219" s="459">
        <f t="shared" si="52"/>
        <v>0</v>
      </c>
    </row>
    <row r="220" spans="1:28" s="344" customFormat="1" ht="26.25" customHeight="1">
      <c r="A220" s="1089"/>
      <c r="B220" s="563" t="s">
        <v>1333</v>
      </c>
      <c r="C220" s="1090"/>
      <c r="D220" s="1089"/>
      <c r="E220" s="1091"/>
      <c r="F220" s="1091"/>
      <c r="G220" s="1091"/>
      <c r="H220" s="1092"/>
      <c r="I220" s="1093">
        <f>SUM(I211:I219)</f>
        <v>52567.060000000005</v>
      </c>
      <c r="J220" s="1089"/>
      <c r="AA220" s="459"/>
      <c r="AB220" s="459"/>
    </row>
    <row r="221" spans="1:28" s="344" customFormat="1" ht="26.25" customHeight="1">
      <c r="A221" s="1084" t="s">
        <v>1129</v>
      </c>
      <c r="B221" s="1085" t="s">
        <v>1015</v>
      </c>
      <c r="C221" s="1086"/>
      <c r="D221" s="1084"/>
      <c r="E221" s="1087"/>
      <c r="F221" s="1088"/>
      <c r="G221" s="1087"/>
      <c r="H221" s="1088"/>
      <c r="I221" s="1088"/>
      <c r="J221" s="1084"/>
      <c r="AA221" s="459">
        <f t="shared" si="52"/>
        <v>0</v>
      </c>
      <c r="AB221" s="459">
        <f t="shared" si="52"/>
        <v>0</v>
      </c>
    </row>
    <row r="222" spans="1:28" s="344" customFormat="1" ht="26.25" customHeight="1">
      <c r="A222" s="1066" t="s">
        <v>2003</v>
      </c>
      <c r="B222" s="995" t="s">
        <v>566</v>
      </c>
      <c r="C222" s="1058">
        <v>1</v>
      </c>
      <c r="D222" s="1066" t="s">
        <v>545</v>
      </c>
      <c r="E222" s="946">
        <v>2193</v>
      </c>
      <c r="F222" s="946">
        <f t="shared" ref="F222:F230" si="65">E222*C222</f>
        <v>2193</v>
      </c>
      <c r="G222" s="946">
        <v>306</v>
      </c>
      <c r="H222" s="947">
        <f t="shared" ref="H222:H230" si="66">G222*C222</f>
        <v>306</v>
      </c>
      <c r="I222" s="947">
        <f t="shared" ref="I222:I230" si="67">H222+F222</f>
        <v>2499</v>
      </c>
      <c r="J222" s="1066"/>
      <c r="AA222" s="459">
        <f t="shared" si="52"/>
        <v>0</v>
      </c>
      <c r="AB222" s="459">
        <f t="shared" si="52"/>
        <v>0</v>
      </c>
    </row>
    <row r="223" spans="1:28" s="344" customFormat="1" ht="26.25" customHeight="1">
      <c r="A223" s="1066" t="s">
        <v>2004</v>
      </c>
      <c r="B223" s="995" t="s">
        <v>567</v>
      </c>
      <c r="C223" s="1058">
        <v>1</v>
      </c>
      <c r="D223" s="1066" t="s">
        <v>545</v>
      </c>
      <c r="E223" s="946">
        <v>2420</v>
      </c>
      <c r="F223" s="946">
        <f t="shared" si="65"/>
        <v>2420</v>
      </c>
      <c r="G223" s="946">
        <v>306</v>
      </c>
      <c r="H223" s="947">
        <f t="shared" si="66"/>
        <v>306</v>
      </c>
      <c r="I223" s="947">
        <f t="shared" si="67"/>
        <v>2726</v>
      </c>
      <c r="J223" s="1066"/>
      <c r="AA223" s="459">
        <f t="shared" si="52"/>
        <v>0</v>
      </c>
      <c r="AB223" s="459">
        <f t="shared" si="52"/>
        <v>0</v>
      </c>
    </row>
    <row r="224" spans="1:28" s="344" customFormat="1" ht="26.25" customHeight="1">
      <c r="A224" s="1066" t="s">
        <v>2005</v>
      </c>
      <c r="B224" s="995" t="s">
        <v>568</v>
      </c>
      <c r="C224" s="1058">
        <v>27</v>
      </c>
      <c r="D224" s="1066" t="s">
        <v>85</v>
      </c>
      <c r="E224" s="946">
        <v>25.09</v>
      </c>
      <c r="F224" s="946">
        <f t="shared" si="65"/>
        <v>677.43</v>
      </c>
      <c r="G224" s="946">
        <v>4.0999999999999996</v>
      </c>
      <c r="H224" s="947">
        <f t="shared" si="66"/>
        <v>110.69999999999999</v>
      </c>
      <c r="I224" s="947">
        <f t="shared" si="67"/>
        <v>788.12999999999988</v>
      </c>
      <c r="J224" s="1066"/>
      <c r="AA224" s="459">
        <f t="shared" si="52"/>
        <v>0</v>
      </c>
      <c r="AB224" s="459">
        <f t="shared" si="52"/>
        <v>0</v>
      </c>
    </row>
    <row r="225" spans="1:28" s="344" customFormat="1" ht="26.25" customHeight="1">
      <c r="A225" s="1066" t="s">
        <v>2006</v>
      </c>
      <c r="B225" s="995" t="s">
        <v>574</v>
      </c>
      <c r="C225" s="549">
        <v>74</v>
      </c>
      <c r="D225" s="1066" t="s">
        <v>85</v>
      </c>
      <c r="E225" s="946">
        <v>26.36</v>
      </c>
      <c r="F225" s="946">
        <f t="shared" si="65"/>
        <v>1950.6399999999999</v>
      </c>
      <c r="G225" s="946">
        <v>3.3</v>
      </c>
      <c r="H225" s="947">
        <f t="shared" si="66"/>
        <v>244.2</v>
      </c>
      <c r="I225" s="947">
        <f t="shared" si="67"/>
        <v>2194.8399999999997</v>
      </c>
      <c r="J225" s="1066"/>
      <c r="AA225" s="459">
        <f t="shared" si="52"/>
        <v>0</v>
      </c>
      <c r="AB225" s="459">
        <f t="shared" si="52"/>
        <v>0</v>
      </c>
    </row>
    <row r="226" spans="1:28" s="344" customFormat="1" ht="26.25" customHeight="1">
      <c r="A226" s="1066" t="s">
        <v>2007</v>
      </c>
      <c r="B226" s="995" t="s">
        <v>570</v>
      </c>
      <c r="C226" s="549">
        <f>C227*0.025*35.31</f>
        <v>6.1792500000000006</v>
      </c>
      <c r="D226" s="1066" t="s">
        <v>598</v>
      </c>
      <c r="E226" s="946">
        <f>VLOOKUP(B226,$O$2:$Q$13,2,0)</f>
        <v>400</v>
      </c>
      <c r="F226" s="946">
        <f t="shared" si="65"/>
        <v>2471.7000000000003</v>
      </c>
      <c r="G226" s="946">
        <f>VLOOKUP(B226,$O$2:$Q$13,3,0)</f>
        <v>0</v>
      </c>
      <c r="H226" s="947">
        <f t="shared" si="66"/>
        <v>0</v>
      </c>
      <c r="I226" s="947">
        <f t="shared" si="67"/>
        <v>2471.7000000000003</v>
      </c>
      <c r="J226" s="1066"/>
      <c r="AA226" s="459">
        <f t="shared" si="52"/>
        <v>0</v>
      </c>
      <c r="AB226" s="459">
        <f t="shared" si="52"/>
        <v>0</v>
      </c>
    </row>
    <row r="227" spans="1:28" s="344" customFormat="1" ht="26.25" customHeight="1">
      <c r="A227" s="1066" t="s">
        <v>2008</v>
      </c>
      <c r="B227" s="995" t="s">
        <v>1036</v>
      </c>
      <c r="C227" s="549">
        <v>7</v>
      </c>
      <c r="D227" s="1066" t="s">
        <v>278</v>
      </c>
      <c r="E227" s="946">
        <f>VLOOKUP(B227,$O$2:$Q$13,2,0)</f>
        <v>0</v>
      </c>
      <c r="F227" s="946">
        <f t="shared" si="65"/>
        <v>0</v>
      </c>
      <c r="G227" s="946">
        <f>VLOOKUP(B227,$O$2:$Q$13,3,0)</f>
        <v>133</v>
      </c>
      <c r="H227" s="947">
        <f t="shared" si="66"/>
        <v>931</v>
      </c>
      <c r="I227" s="947">
        <f t="shared" si="67"/>
        <v>931</v>
      </c>
      <c r="J227" s="1066"/>
      <c r="AA227" s="459">
        <f t="shared" si="52"/>
        <v>7</v>
      </c>
      <c r="AB227" s="459">
        <f t="shared" si="52"/>
        <v>0</v>
      </c>
    </row>
    <row r="228" spans="1:28" s="344" customFormat="1" ht="26.25" customHeight="1">
      <c r="A228" s="1066" t="s">
        <v>2009</v>
      </c>
      <c r="B228" s="995" t="s">
        <v>571</v>
      </c>
      <c r="C228" s="549">
        <v>1</v>
      </c>
      <c r="D228" s="1066" t="s">
        <v>598</v>
      </c>
      <c r="E228" s="946">
        <f>VLOOKUP(B228,$O$2:$Q$13,2,0)</f>
        <v>400</v>
      </c>
      <c r="F228" s="946">
        <f t="shared" si="65"/>
        <v>400</v>
      </c>
      <c r="G228" s="946">
        <f>VLOOKUP(B228,$O$2:$Q$13,3,0)</f>
        <v>0</v>
      </c>
      <c r="H228" s="947">
        <f t="shared" si="66"/>
        <v>0</v>
      </c>
      <c r="I228" s="947">
        <f t="shared" si="67"/>
        <v>400</v>
      </c>
      <c r="J228" s="1066"/>
      <c r="AA228" s="459">
        <f t="shared" si="52"/>
        <v>0</v>
      </c>
      <c r="AB228" s="459">
        <f t="shared" si="52"/>
        <v>0</v>
      </c>
    </row>
    <row r="229" spans="1:28" s="344" customFormat="1" ht="26.25" customHeight="1">
      <c r="A229" s="1066" t="s">
        <v>2010</v>
      </c>
      <c r="B229" s="995" t="s">
        <v>572</v>
      </c>
      <c r="C229" s="1058">
        <v>1</v>
      </c>
      <c r="D229" s="1066" t="s">
        <v>85</v>
      </c>
      <c r="E229" s="946">
        <f>VLOOKUP(B229,$O$2:$Q$13,2,0)</f>
        <v>56.78</v>
      </c>
      <c r="F229" s="946">
        <f t="shared" si="65"/>
        <v>56.78</v>
      </c>
      <c r="G229" s="946">
        <f>VLOOKUP(B229,$O$2:$Q$13,3,0)</f>
        <v>0</v>
      </c>
      <c r="H229" s="947">
        <f t="shared" si="66"/>
        <v>0</v>
      </c>
      <c r="I229" s="947">
        <f t="shared" si="67"/>
        <v>56.78</v>
      </c>
      <c r="J229" s="1066"/>
      <c r="AA229" s="459">
        <f t="shared" si="52"/>
        <v>0</v>
      </c>
      <c r="AB229" s="459">
        <f t="shared" si="52"/>
        <v>0</v>
      </c>
    </row>
    <row r="230" spans="1:28" s="344" customFormat="1" ht="26.25" customHeight="1">
      <c r="A230" s="1066" t="s">
        <v>2011</v>
      </c>
      <c r="B230" s="995" t="s">
        <v>573</v>
      </c>
      <c r="C230" s="1058">
        <v>3</v>
      </c>
      <c r="D230" s="1066" t="s">
        <v>85</v>
      </c>
      <c r="E230" s="946">
        <v>33</v>
      </c>
      <c r="F230" s="946">
        <f t="shared" si="65"/>
        <v>99</v>
      </c>
      <c r="G230" s="946">
        <f>VLOOKUP(B230,$O$2:$Q$13,3,0)</f>
        <v>0</v>
      </c>
      <c r="H230" s="947">
        <f t="shared" si="66"/>
        <v>0</v>
      </c>
      <c r="I230" s="947">
        <f t="shared" si="67"/>
        <v>99</v>
      </c>
      <c r="J230" s="1066"/>
      <c r="AA230" s="459">
        <f t="shared" si="52"/>
        <v>0</v>
      </c>
      <c r="AB230" s="459">
        <f t="shared" si="52"/>
        <v>0</v>
      </c>
    </row>
    <row r="231" spans="1:28" s="344" customFormat="1" ht="26.25" customHeight="1">
      <c r="A231" s="1089"/>
      <c r="B231" s="563" t="s">
        <v>1334</v>
      </c>
      <c r="C231" s="1090"/>
      <c r="D231" s="1089"/>
      <c r="E231" s="1091"/>
      <c r="F231" s="1091"/>
      <c r="G231" s="1091"/>
      <c r="H231" s="1092"/>
      <c r="I231" s="1093">
        <f>SUM(I222:I230)</f>
        <v>12166.45</v>
      </c>
      <c r="J231" s="1089"/>
      <c r="AA231" s="459"/>
      <c r="AB231" s="459"/>
    </row>
    <row r="232" spans="1:28" s="344" customFormat="1" ht="26.25" customHeight="1">
      <c r="A232" s="1084" t="s">
        <v>1130</v>
      </c>
      <c r="B232" s="1085" t="s">
        <v>1016</v>
      </c>
      <c r="C232" s="1086"/>
      <c r="D232" s="1084"/>
      <c r="E232" s="1087"/>
      <c r="F232" s="1088"/>
      <c r="G232" s="1087"/>
      <c r="H232" s="1088"/>
      <c r="I232" s="1088"/>
      <c r="J232" s="1084"/>
      <c r="AA232" s="459">
        <f t="shared" si="52"/>
        <v>0</v>
      </c>
      <c r="AB232" s="459">
        <f t="shared" si="52"/>
        <v>0</v>
      </c>
    </row>
    <row r="233" spans="1:28" s="344" customFormat="1" ht="26.25" customHeight="1">
      <c r="A233" s="1066" t="s">
        <v>2012</v>
      </c>
      <c r="B233" s="995" t="s">
        <v>566</v>
      </c>
      <c r="C233" s="1058">
        <v>1</v>
      </c>
      <c r="D233" s="1066" t="s">
        <v>545</v>
      </c>
      <c r="E233" s="946">
        <v>2193</v>
      </c>
      <c r="F233" s="946">
        <f t="shared" ref="F233:F241" si="68">E233*C233</f>
        <v>2193</v>
      </c>
      <c r="G233" s="946">
        <v>306</v>
      </c>
      <c r="H233" s="947">
        <f t="shared" ref="H233:H241" si="69">G233*C233</f>
        <v>306</v>
      </c>
      <c r="I233" s="947">
        <f t="shared" ref="I233:I241" si="70">H233+F233</f>
        <v>2499</v>
      </c>
      <c r="J233" s="1066"/>
      <c r="AA233" s="459">
        <f t="shared" si="52"/>
        <v>0</v>
      </c>
      <c r="AB233" s="459">
        <f t="shared" si="52"/>
        <v>0</v>
      </c>
    </row>
    <row r="234" spans="1:28" s="344" customFormat="1" ht="26.25" customHeight="1">
      <c r="A234" s="1066" t="s">
        <v>2013</v>
      </c>
      <c r="B234" s="995" t="s">
        <v>567</v>
      </c>
      <c r="C234" s="1058">
        <v>2</v>
      </c>
      <c r="D234" s="1066" t="s">
        <v>545</v>
      </c>
      <c r="E234" s="946">
        <v>2420</v>
      </c>
      <c r="F234" s="946">
        <f t="shared" si="68"/>
        <v>4840</v>
      </c>
      <c r="G234" s="946">
        <v>306</v>
      </c>
      <c r="H234" s="947">
        <f t="shared" si="69"/>
        <v>612</v>
      </c>
      <c r="I234" s="947">
        <f t="shared" si="70"/>
        <v>5452</v>
      </c>
      <c r="J234" s="1066"/>
      <c r="AA234" s="459">
        <f t="shared" si="52"/>
        <v>0</v>
      </c>
      <c r="AB234" s="459">
        <f t="shared" si="52"/>
        <v>0</v>
      </c>
    </row>
    <row r="235" spans="1:28" s="344" customFormat="1" ht="26.25" customHeight="1">
      <c r="A235" s="1066" t="s">
        <v>2014</v>
      </c>
      <c r="B235" s="995" t="s">
        <v>568</v>
      </c>
      <c r="C235" s="1058">
        <v>67</v>
      </c>
      <c r="D235" s="1066" t="s">
        <v>85</v>
      </c>
      <c r="E235" s="946">
        <v>25.09</v>
      </c>
      <c r="F235" s="946">
        <f t="shared" si="68"/>
        <v>1681.03</v>
      </c>
      <c r="G235" s="946">
        <v>4.0999999999999996</v>
      </c>
      <c r="H235" s="947">
        <f t="shared" si="69"/>
        <v>274.7</v>
      </c>
      <c r="I235" s="947">
        <f t="shared" si="70"/>
        <v>1955.73</v>
      </c>
      <c r="J235" s="1066"/>
      <c r="AA235" s="459">
        <f t="shared" si="52"/>
        <v>0</v>
      </c>
      <c r="AB235" s="459">
        <f t="shared" si="52"/>
        <v>0</v>
      </c>
    </row>
    <row r="236" spans="1:28" s="344" customFormat="1" ht="26.25" customHeight="1">
      <c r="A236" s="1066" t="s">
        <v>2015</v>
      </c>
      <c r="B236" s="995" t="s">
        <v>589</v>
      </c>
      <c r="C236" s="549">
        <v>117</v>
      </c>
      <c r="D236" s="1066" t="s">
        <v>85</v>
      </c>
      <c r="E236" s="946">
        <v>26.16</v>
      </c>
      <c r="F236" s="946">
        <f t="shared" si="68"/>
        <v>3060.72</v>
      </c>
      <c r="G236" s="946">
        <v>2.9</v>
      </c>
      <c r="H236" s="947">
        <f t="shared" si="69"/>
        <v>339.3</v>
      </c>
      <c r="I236" s="947">
        <f t="shared" si="70"/>
        <v>3400.02</v>
      </c>
      <c r="J236" s="1066"/>
      <c r="AA236" s="459">
        <f t="shared" si="52"/>
        <v>0</v>
      </c>
      <c r="AB236" s="459">
        <f t="shared" si="52"/>
        <v>0</v>
      </c>
    </row>
    <row r="237" spans="1:28" s="344" customFormat="1" ht="26.25" customHeight="1">
      <c r="A237" s="1066" t="s">
        <v>2016</v>
      </c>
      <c r="B237" s="995" t="s">
        <v>570</v>
      </c>
      <c r="C237" s="549">
        <f>C238*0.025*35.31</f>
        <v>8.8275000000000006</v>
      </c>
      <c r="D237" s="1066" t="s">
        <v>598</v>
      </c>
      <c r="E237" s="946">
        <f>VLOOKUP(B237,$O$2:$Q$13,2,0)</f>
        <v>400</v>
      </c>
      <c r="F237" s="946">
        <f t="shared" si="68"/>
        <v>3531</v>
      </c>
      <c r="G237" s="946">
        <f>VLOOKUP(B237,$O$2:$Q$13,3,0)</f>
        <v>0</v>
      </c>
      <c r="H237" s="947">
        <f t="shared" si="69"/>
        <v>0</v>
      </c>
      <c r="I237" s="947">
        <f t="shared" si="70"/>
        <v>3531</v>
      </c>
      <c r="J237" s="1066"/>
      <c r="AA237" s="459">
        <f t="shared" si="52"/>
        <v>0</v>
      </c>
      <c r="AB237" s="459">
        <f t="shared" si="52"/>
        <v>0</v>
      </c>
    </row>
    <row r="238" spans="1:28" s="344" customFormat="1" ht="26.25" customHeight="1">
      <c r="A238" s="1066" t="s">
        <v>2017</v>
      </c>
      <c r="B238" s="995" t="s">
        <v>1036</v>
      </c>
      <c r="C238" s="549">
        <v>10</v>
      </c>
      <c r="D238" s="1066" t="s">
        <v>278</v>
      </c>
      <c r="E238" s="946">
        <f>VLOOKUP(B238,$O$2:$Q$13,2,0)</f>
        <v>0</v>
      </c>
      <c r="F238" s="946">
        <f t="shared" si="68"/>
        <v>0</v>
      </c>
      <c r="G238" s="946">
        <f>VLOOKUP(B238,$O$2:$Q$13,3,0)</f>
        <v>133</v>
      </c>
      <c r="H238" s="947">
        <f t="shared" si="69"/>
        <v>1330</v>
      </c>
      <c r="I238" s="947">
        <f t="shared" si="70"/>
        <v>1330</v>
      </c>
      <c r="J238" s="1066"/>
      <c r="AA238" s="459">
        <f t="shared" si="52"/>
        <v>10</v>
      </c>
      <c r="AB238" s="459">
        <f t="shared" si="52"/>
        <v>0</v>
      </c>
    </row>
    <row r="239" spans="1:28" s="344" customFormat="1" ht="26.25" customHeight="1">
      <c r="A239" s="1066" t="s">
        <v>2018</v>
      </c>
      <c r="B239" s="995" t="s">
        <v>571</v>
      </c>
      <c r="C239" s="549">
        <v>1</v>
      </c>
      <c r="D239" s="1066" t="s">
        <v>598</v>
      </c>
      <c r="E239" s="946">
        <f>VLOOKUP(B239,$O$2:$Q$13,2,0)</f>
        <v>400</v>
      </c>
      <c r="F239" s="946">
        <f t="shared" si="68"/>
        <v>400</v>
      </c>
      <c r="G239" s="946">
        <f>VLOOKUP(B239,$O$2:$Q$13,3,0)</f>
        <v>0</v>
      </c>
      <c r="H239" s="947">
        <f t="shared" si="69"/>
        <v>0</v>
      </c>
      <c r="I239" s="947">
        <f t="shared" si="70"/>
        <v>400</v>
      </c>
      <c r="J239" s="1066"/>
      <c r="AA239" s="459">
        <f t="shared" si="52"/>
        <v>0</v>
      </c>
      <c r="AB239" s="459">
        <f t="shared" si="52"/>
        <v>0</v>
      </c>
    </row>
    <row r="240" spans="1:28" s="344" customFormat="1" ht="26.25" customHeight="1">
      <c r="A240" s="1066" t="s">
        <v>2019</v>
      </c>
      <c r="B240" s="995" t="s">
        <v>572</v>
      </c>
      <c r="C240" s="1058">
        <v>2</v>
      </c>
      <c r="D240" s="1066" t="s">
        <v>85</v>
      </c>
      <c r="E240" s="946">
        <f>VLOOKUP(B240,$O$2:$Q$13,2,0)</f>
        <v>56.78</v>
      </c>
      <c r="F240" s="946">
        <f t="shared" si="68"/>
        <v>113.56</v>
      </c>
      <c r="G240" s="946">
        <f>VLOOKUP(B240,$O$2:$Q$13,3,0)</f>
        <v>0</v>
      </c>
      <c r="H240" s="947">
        <f t="shared" si="69"/>
        <v>0</v>
      </c>
      <c r="I240" s="947">
        <f t="shared" si="70"/>
        <v>113.56</v>
      </c>
      <c r="J240" s="1066"/>
      <c r="AA240" s="459">
        <f t="shared" si="52"/>
        <v>0</v>
      </c>
      <c r="AB240" s="459">
        <f t="shared" si="52"/>
        <v>0</v>
      </c>
    </row>
    <row r="241" spans="1:28" s="344" customFormat="1" ht="26.25" customHeight="1">
      <c r="A241" s="1066" t="s">
        <v>2020</v>
      </c>
      <c r="B241" s="995" t="s">
        <v>573</v>
      </c>
      <c r="C241" s="1058">
        <v>6</v>
      </c>
      <c r="D241" s="1066" t="s">
        <v>85</v>
      </c>
      <c r="E241" s="946">
        <v>33</v>
      </c>
      <c r="F241" s="946">
        <f t="shared" si="68"/>
        <v>198</v>
      </c>
      <c r="G241" s="946">
        <f>VLOOKUP(B241,$O$2:$Q$13,3,0)</f>
        <v>0</v>
      </c>
      <c r="H241" s="947">
        <f t="shared" si="69"/>
        <v>0</v>
      </c>
      <c r="I241" s="947">
        <f t="shared" si="70"/>
        <v>198</v>
      </c>
      <c r="J241" s="1066"/>
      <c r="AA241" s="459">
        <f t="shared" si="52"/>
        <v>0</v>
      </c>
      <c r="AB241" s="459">
        <f t="shared" si="52"/>
        <v>0</v>
      </c>
    </row>
    <row r="242" spans="1:28" s="344" customFormat="1" ht="26.25" customHeight="1">
      <c r="A242" s="1089"/>
      <c r="B242" s="563" t="s">
        <v>1335</v>
      </c>
      <c r="C242" s="1090"/>
      <c r="D242" s="1089"/>
      <c r="E242" s="1091"/>
      <c r="F242" s="1091"/>
      <c r="G242" s="1091"/>
      <c r="H242" s="1092"/>
      <c r="I242" s="1093">
        <f>SUM(I233:I241)</f>
        <v>18879.310000000001</v>
      </c>
      <c r="J242" s="1089"/>
      <c r="AA242" s="459"/>
      <c r="AB242" s="459"/>
    </row>
    <row r="243" spans="1:28" s="344" customFormat="1" ht="26.25" customHeight="1">
      <c r="A243" s="1084" t="s">
        <v>1131</v>
      </c>
      <c r="B243" s="1085" t="s">
        <v>1017</v>
      </c>
      <c r="C243" s="1086"/>
      <c r="D243" s="1084"/>
      <c r="E243" s="1087"/>
      <c r="F243" s="1088"/>
      <c r="G243" s="1087"/>
      <c r="H243" s="1088"/>
      <c r="I243" s="1088"/>
      <c r="J243" s="1084"/>
      <c r="AA243" s="459">
        <f t="shared" si="52"/>
        <v>0</v>
      </c>
      <c r="AB243" s="459">
        <f t="shared" si="52"/>
        <v>0</v>
      </c>
    </row>
    <row r="244" spans="1:28" s="344" customFormat="1" ht="26.25" customHeight="1">
      <c r="A244" s="1066" t="s">
        <v>2021</v>
      </c>
      <c r="B244" s="995" t="s">
        <v>566</v>
      </c>
      <c r="C244" s="1058">
        <v>1</v>
      </c>
      <c r="D244" s="1066" t="s">
        <v>545</v>
      </c>
      <c r="E244" s="946">
        <v>2193</v>
      </c>
      <c r="F244" s="946">
        <f t="shared" ref="F244:F252" si="71">E244*C244</f>
        <v>2193</v>
      </c>
      <c r="G244" s="946">
        <v>306</v>
      </c>
      <c r="H244" s="947">
        <f t="shared" ref="H244:H252" si="72">G244*C244</f>
        <v>306</v>
      </c>
      <c r="I244" s="947">
        <f t="shared" ref="I244:I252" si="73">H244+F244</f>
        <v>2499</v>
      </c>
      <c r="J244" s="1066"/>
      <c r="AA244" s="459">
        <f t="shared" si="52"/>
        <v>0</v>
      </c>
      <c r="AB244" s="459">
        <f t="shared" si="52"/>
        <v>0</v>
      </c>
    </row>
    <row r="245" spans="1:28" s="344" customFormat="1" ht="26.25" customHeight="1">
      <c r="A245" s="1066" t="s">
        <v>2022</v>
      </c>
      <c r="B245" s="995" t="s">
        <v>567</v>
      </c>
      <c r="C245" s="1058">
        <v>4</v>
      </c>
      <c r="D245" s="1066" t="s">
        <v>545</v>
      </c>
      <c r="E245" s="946">
        <v>2420</v>
      </c>
      <c r="F245" s="946">
        <f t="shared" si="71"/>
        <v>9680</v>
      </c>
      <c r="G245" s="946">
        <v>306</v>
      </c>
      <c r="H245" s="947">
        <f t="shared" si="72"/>
        <v>1224</v>
      </c>
      <c r="I245" s="947">
        <f t="shared" si="73"/>
        <v>10904</v>
      </c>
      <c r="J245" s="1066"/>
      <c r="AA245" s="459">
        <f t="shared" si="52"/>
        <v>0</v>
      </c>
      <c r="AB245" s="459">
        <f t="shared" si="52"/>
        <v>0</v>
      </c>
    </row>
    <row r="246" spans="1:28" s="344" customFormat="1" ht="26.25" customHeight="1">
      <c r="A246" s="1066" t="s">
        <v>2023</v>
      </c>
      <c r="B246" s="995" t="s">
        <v>576</v>
      </c>
      <c r="C246" s="1058">
        <v>56</v>
      </c>
      <c r="D246" s="1066" t="s">
        <v>85</v>
      </c>
      <c r="E246" s="946">
        <v>26.03</v>
      </c>
      <c r="F246" s="946">
        <f t="shared" si="71"/>
        <v>1457.68</v>
      </c>
      <c r="G246" s="946">
        <v>4.0999999999999996</v>
      </c>
      <c r="H246" s="947">
        <f t="shared" si="72"/>
        <v>229.59999999999997</v>
      </c>
      <c r="I246" s="947">
        <f t="shared" si="73"/>
        <v>1687.28</v>
      </c>
      <c r="J246" s="1066"/>
      <c r="AA246" s="459">
        <f t="shared" si="52"/>
        <v>0</v>
      </c>
      <c r="AB246" s="459">
        <f t="shared" si="52"/>
        <v>0</v>
      </c>
    </row>
    <row r="247" spans="1:28" s="344" customFormat="1" ht="26.25" customHeight="1">
      <c r="A247" s="1066" t="s">
        <v>2024</v>
      </c>
      <c r="B247" s="995" t="s">
        <v>574</v>
      </c>
      <c r="C247" s="549">
        <v>210</v>
      </c>
      <c r="D247" s="1066" t="s">
        <v>85</v>
      </c>
      <c r="E247" s="946">
        <v>26.36</v>
      </c>
      <c r="F247" s="946">
        <f t="shared" si="71"/>
        <v>5535.5999999999995</v>
      </c>
      <c r="G247" s="946">
        <v>3.3</v>
      </c>
      <c r="H247" s="947">
        <f t="shared" si="72"/>
        <v>693</v>
      </c>
      <c r="I247" s="947">
        <f t="shared" si="73"/>
        <v>6228.5999999999995</v>
      </c>
      <c r="J247" s="1066"/>
      <c r="AA247" s="459">
        <f t="shared" si="52"/>
        <v>0</v>
      </c>
      <c r="AB247" s="459">
        <f t="shared" si="52"/>
        <v>0</v>
      </c>
    </row>
    <row r="248" spans="1:28" s="344" customFormat="1" ht="26.25" customHeight="1">
      <c r="A248" s="1066" t="s">
        <v>2025</v>
      </c>
      <c r="B248" s="995" t="s">
        <v>570</v>
      </c>
      <c r="C248" s="549">
        <f>C249*0.025*35.31</f>
        <v>21.186000000000003</v>
      </c>
      <c r="D248" s="1066" t="s">
        <v>598</v>
      </c>
      <c r="E248" s="946">
        <f>VLOOKUP(B248,$O$2:$Q$13,2,0)</f>
        <v>400</v>
      </c>
      <c r="F248" s="946">
        <f t="shared" si="71"/>
        <v>8474.4000000000015</v>
      </c>
      <c r="G248" s="946">
        <f>VLOOKUP(B248,$O$2:$Q$13,3,0)</f>
        <v>0</v>
      </c>
      <c r="H248" s="947">
        <f t="shared" si="72"/>
        <v>0</v>
      </c>
      <c r="I248" s="947">
        <f t="shared" si="73"/>
        <v>8474.4000000000015</v>
      </c>
      <c r="J248" s="1066"/>
      <c r="AA248" s="459">
        <f t="shared" si="52"/>
        <v>0</v>
      </c>
      <c r="AB248" s="459">
        <f t="shared" si="52"/>
        <v>0</v>
      </c>
    </row>
    <row r="249" spans="1:28" s="344" customFormat="1" ht="26.25" customHeight="1">
      <c r="A249" s="1066" t="s">
        <v>2026</v>
      </c>
      <c r="B249" s="995" t="s">
        <v>1036</v>
      </c>
      <c r="C249" s="549">
        <v>24</v>
      </c>
      <c r="D249" s="1066" t="s">
        <v>278</v>
      </c>
      <c r="E249" s="946">
        <f>VLOOKUP(B249,$O$2:$Q$13,2,0)</f>
        <v>0</v>
      </c>
      <c r="F249" s="946">
        <f t="shared" si="71"/>
        <v>0</v>
      </c>
      <c r="G249" s="946">
        <f>VLOOKUP(B249,$O$2:$Q$13,3,0)</f>
        <v>133</v>
      </c>
      <c r="H249" s="947">
        <f t="shared" si="72"/>
        <v>3192</v>
      </c>
      <c r="I249" s="947">
        <f t="shared" si="73"/>
        <v>3192</v>
      </c>
      <c r="J249" s="1066"/>
      <c r="AA249" s="459">
        <f t="shared" si="52"/>
        <v>24</v>
      </c>
      <c r="AB249" s="459">
        <f t="shared" si="52"/>
        <v>0</v>
      </c>
    </row>
    <row r="250" spans="1:28" s="344" customFormat="1" ht="26.25" customHeight="1">
      <c r="A250" s="1066" t="s">
        <v>2027</v>
      </c>
      <c r="B250" s="995" t="s">
        <v>571</v>
      </c>
      <c r="C250" s="549">
        <v>3</v>
      </c>
      <c r="D250" s="1066" t="s">
        <v>598</v>
      </c>
      <c r="E250" s="946">
        <f>VLOOKUP(B250,$O$2:$Q$13,2,0)</f>
        <v>400</v>
      </c>
      <c r="F250" s="946">
        <f t="shared" si="71"/>
        <v>1200</v>
      </c>
      <c r="G250" s="946">
        <f>VLOOKUP(B250,$O$2:$Q$13,3,0)</f>
        <v>0</v>
      </c>
      <c r="H250" s="947">
        <f t="shared" si="72"/>
        <v>0</v>
      </c>
      <c r="I250" s="947">
        <f t="shared" si="73"/>
        <v>1200</v>
      </c>
      <c r="J250" s="1066"/>
      <c r="AA250" s="459">
        <f t="shared" si="52"/>
        <v>0</v>
      </c>
      <c r="AB250" s="459">
        <f t="shared" si="52"/>
        <v>0</v>
      </c>
    </row>
    <row r="251" spans="1:28" s="344" customFormat="1" ht="26.25" customHeight="1">
      <c r="A251" s="1066" t="s">
        <v>2028</v>
      </c>
      <c r="B251" s="995" t="s">
        <v>572</v>
      </c>
      <c r="C251" s="1058">
        <v>5</v>
      </c>
      <c r="D251" s="1066" t="s">
        <v>85</v>
      </c>
      <c r="E251" s="946">
        <f>VLOOKUP(B251,$O$2:$Q$13,2,0)</f>
        <v>56.78</v>
      </c>
      <c r="F251" s="946">
        <f t="shared" si="71"/>
        <v>283.89999999999998</v>
      </c>
      <c r="G251" s="946">
        <f>VLOOKUP(B251,$O$2:$Q$13,3,0)</f>
        <v>0</v>
      </c>
      <c r="H251" s="947">
        <f t="shared" si="72"/>
        <v>0</v>
      </c>
      <c r="I251" s="947">
        <f t="shared" si="73"/>
        <v>283.89999999999998</v>
      </c>
      <c r="J251" s="1066"/>
      <c r="AA251" s="459">
        <f t="shared" si="52"/>
        <v>0</v>
      </c>
      <c r="AB251" s="459">
        <f t="shared" si="52"/>
        <v>0</v>
      </c>
    </row>
    <row r="252" spans="1:28" s="344" customFormat="1" ht="26.25" customHeight="1">
      <c r="A252" s="1066" t="s">
        <v>2029</v>
      </c>
      <c r="B252" s="995" t="s">
        <v>573</v>
      </c>
      <c r="C252" s="1058">
        <v>8</v>
      </c>
      <c r="D252" s="1066" t="s">
        <v>85</v>
      </c>
      <c r="E252" s="946">
        <v>33</v>
      </c>
      <c r="F252" s="946">
        <f t="shared" si="71"/>
        <v>264</v>
      </c>
      <c r="G252" s="946">
        <f>VLOOKUP(B252,$O$2:$Q$13,3,0)</f>
        <v>0</v>
      </c>
      <c r="H252" s="947">
        <f t="shared" si="72"/>
        <v>0</v>
      </c>
      <c r="I252" s="947">
        <f t="shared" si="73"/>
        <v>264</v>
      </c>
      <c r="J252" s="1066"/>
      <c r="AA252" s="459">
        <f t="shared" si="52"/>
        <v>0</v>
      </c>
      <c r="AB252" s="459">
        <f t="shared" si="52"/>
        <v>0</v>
      </c>
    </row>
    <row r="253" spans="1:28" s="344" customFormat="1" ht="26.25" customHeight="1">
      <c r="A253" s="1089"/>
      <c r="B253" s="563" t="s">
        <v>1336</v>
      </c>
      <c r="C253" s="1090"/>
      <c r="D253" s="1089"/>
      <c r="E253" s="1091"/>
      <c r="F253" s="1091"/>
      <c r="G253" s="1091"/>
      <c r="H253" s="1092"/>
      <c r="I253" s="1093">
        <f>SUM(I244:I252)</f>
        <v>34733.18</v>
      </c>
      <c r="J253" s="1089"/>
      <c r="AA253" s="459"/>
      <c r="AB253" s="459"/>
    </row>
    <row r="254" spans="1:28" s="344" customFormat="1" ht="26.25" customHeight="1">
      <c r="A254" s="1084" t="s">
        <v>1132</v>
      </c>
      <c r="B254" s="1085" t="s">
        <v>1018</v>
      </c>
      <c r="C254" s="1086"/>
      <c r="D254" s="1084"/>
      <c r="E254" s="1087"/>
      <c r="F254" s="1088"/>
      <c r="G254" s="1087"/>
      <c r="H254" s="1088"/>
      <c r="I254" s="1088"/>
      <c r="J254" s="1084"/>
      <c r="AA254" s="459">
        <f t="shared" ref="AA254:AB334" si="74">IF($B254=AA$1,$C254,0)</f>
        <v>0</v>
      </c>
      <c r="AB254" s="459">
        <f t="shared" si="74"/>
        <v>0</v>
      </c>
    </row>
    <row r="255" spans="1:28" s="344" customFormat="1" ht="26.25" customHeight="1">
      <c r="A255" s="1066" t="s">
        <v>2030</v>
      </c>
      <c r="B255" s="995" t="s">
        <v>566</v>
      </c>
      <c r="C255" s="1058">
        <v>1</v>
      </c>
      <c r="D255" s="1066" t="s">
        <v>545</v>
      </c>
      <c r="E255" s="946">
        <v>2193</v>
      </c>
      <c r="F255" s="946">
        <f t="shared" ref="F255:F263" si="75">E255*C255</f>
        <v>2193</v>
      </c>
      <c r="G255" s="946">
        <v>306</v>
      </c>
      <c r="H255" s="947">
        <f t="shared" ref="H255:H263" si="76">G255*C255</f>
        <v>306</v>
      </c>
      <c r="I255" s="947">
        <f t="shared" ref="I255:I263" si="77">H255+F255</f>
        <v>2499</v>
      </c>
      <c r="J255" s="1066"/>
      <c r="AA255" s="459">
        <f t="shared" si="74"/>
        <v>0</v>
      </c>
      <c r="AB255" s="459">
        <f t="shared" si="74"/>
        <v>0</v>
      </c>
    </row>
    <row r="256" spans="1:28" s="344" customFormat="1" ht="26.25" customHeight="1">
      <c r="A256" s="1066" t="s">
        <v>2031</v>
      </c>
      <c r="B256" s="995" t="s">
        <v>567</v>
      </c>
      <c r="C256" s="1058">
        <v>1</v>
      </c>
      <c r="D256" s="1066" t="s">
        <v>545</v>
      </c>
      <c r="E256" s="946">
        <v>2420</v>
      </c>
      <c r="F256" s="946">
        <f t="shared" si="75"/>
        <v>2420</v>
      </c>
      <c r="G256" s="946">
        <v>306</v>
      </c>
      <c r="H256" s="947">
        <f t="shared" si="76"/>
        <v>306</v>
      </c>
      <c r="I256" s="947">
        <f t="shared" si="77"/>
        <v>2726</v>
      </c>
      <c r="J256" s="1066"/>
      <c r="AA256" s="459">
        <f t="shared" si="74"/>
        <v>0</v>
      </c>
      <c r="AB256" s="459">
        <f t="shared" si="74"/>
        <v>0</v>
      </c>
    </row>
    <row r="257" spans="1:28" s="344" customFormat="1" ht="26.25" customHeight="1">
      <c r="A257" s="1066" t="s">
        <v>2032</v>
      </c>
      <c r="B257" s="995" t="s">
        <v>576</v>
      </c>
      <c r="C257" s="1058">
        <v>21</v>
      </c>
      <c r="D257" s="1066" t="s">
        <v>85</v>
      </c>
      <c r="E257" s="946">
        <v>26.03</v>
      </c>
      <c r="F257" s="946">
        <f t="shared" si="75"/>
        <v>546.63</v>
      </c>
      <c r="G257" s="946">
        <v>4.0999999999999996</v>
      </c>
      <c r="H257" s="947">
        <f t="shared" si="76"/>
        <v>86.1</v>
      </c>
      <c r="I257" s="947">
        <f t="shared" si="77"/>
        <v>632.73</v>
      </c>
      <c r="J257" s="1066"/>
      <c r="AA257" s="459">
        <f t="shared" si="74"/>
        <v>0</v>
      </c>
      <c r="AB257" s="459">
        <f t="shared" si="74"/>
        <v>0</v>
      </c>
    </row>
    <row r="258" spans="1:28" s="344" customFormat="1" ht="26.25" customHeight="1">
      <c r="A258" s="1066" t="s">
        <v>2033</v>
      </c>
      <c r="B258" s="995" t="s">
        <v>589</v>
      </c>
      <c r="C258" s="549">
        <v>137</v>
      </c>
      <c r="D258" s="1066" t="s">
        <v>85</v>
      </c>
      <c r="E258" s="946">
        <v>26.16</v>
      </c>
      <c r="F258" s="946">
        <f t="shared" si="75"/>
        <v>3583.92</v>
      </c>
      <c r="G258" s="946">
        <v>2.9</v>
      </c>
      <c r="H258" s="947">
        <f t="shared" si="76"/>
        <v>397.3</v>
      </c>
      <c r="I258" s="947">
        <f t="shared" si="77"/>
        <v>3981.2200000000003</v>
      </c>
      <c r="J258" s="1066"/>
      <c r="AA258" s="459">
        <f t="shared" si="74"/>
        <v>0</v>
      </c>
      <c r="AB258" s="459">
        <f t="shared" si="74"/>
        <v>0</v>
      </c>
    </row>
    <row r="259" spans="1:28" s="344" customFormat="1" ht="26.25" customHeight="1">
      <c r="A259" s="1066" t="s">
        <v>2034</v>
      </c>
      <c r="B259" s="995" t="s">
        <v>570</v>
      </c>
      <c r="C259" s="549">
        <f>C260*0.025*35.31</f>
        <v>8.8275000000000006</v>
      </c>
      <c r="D259" s="1066" t="s">
        <v>598</v>
      </c>
      <c r="E259" s="946">
        <f>VLOOKUP(B259,$O$2:$Q$13,2,0)</f>
        <v>400</v>
      </c>
      <c r="F259" s="946">
        <f t="shared" si="75"/>
        <v>3531</v>
      </c>
      <c r="G259" s="946">
        <f>VLOOKUP(B259,$O$2:$Q$13,3,0)</f>
        <v>0</v>
      </c>
      <c r="H259" s="947">
        <f t="shared" si="76"/>
        <v>0</v>
      </c>
      <c r="I259" s="947">
        <f t="shared" si="77"/>
        <v>3531</v>
      </c>
      <c r="J259" s="1066"/>
      <c r="AA259" s="459">
        <f t="shared" si="74"/>
        <v>0</v>
      </c>
      <c r="AB259" s="459">
        <f t="shared" si="74"/>
        <v>0</v>
      </c>
    </row>
    <row r="260" spans="1:28" s="344" customFormat="1" ht="26.25" customHeight="1">
      <c r="A260" s="1066" t="s">
        <v>2035</v>
      </c>
      <c r="B260" s="995" t="s">
        <v>1036</v>
      </c>
      <c r="C260" s="549">
        <v>10</v>
      </c>
      <c r="D260" s="1066" t="s">
        <v>278</v>
      </c>
      <c r="E260" s="946">
        <f>VLOOKUP(B260,$O$2:$Q$13,2,0)</f>
        <v>0</v>
      </c>
      <c r="F260" s="946">
        <f t="shared" si="75"/>
        <v>0</v>
      </c>
      <c r="G260" s="946">
        <f>VLOOKUP(B260,$O$2:$Q$13,3,0)</f>
        <v>133</v>
      </c>
      <c r="H260" s="947">
        <f t="shared" si="76"/>
        <v>1330</v>
      </c>
      <c r="I260" s="947">
        <f t="shared" si="77"/>
        <v>1330</v>
      </c>
      <c r="J260" s="1066"/>
      <c r="AA260" s="459">
        <f t="shared" si="74"/>
        <v>10</v>
      </c>
      <c r="AB260" s="459">
        <f t="shared" si="74"/>
        <v>0</v>
      </c>
    </row>
    <row r="261" spans="1:28" s="344" customFormat="1" ht="26.25" customHeight="1">
      <c r="A261" s="1066" t="s">
        <v>2036</v>
      </c>
      <c r="B261" s="995" t="s">
        <v>571</v>
      </c>
      <c r="C261" s="549">
        <v>1</v>
      </c>
      <c r="D261" s="1066" t="s">
        <v>598</v>
      </c>
      <c r="E261" s="946">
        <f>VLOOKUP(B261,$O$2:$Q$13,2,0)</f>
        <v>400</v>
      </c>
      <c r="F261" s="946">
        <f t="shared" si="75"/>
        <v>400</v>
      </c>
      <c r="G261" s="946">
        <f>VLOOKUP(B261,$O$2:$Q$13,3,0)</f>
        <v>0</v>
      </c>
      <c r="H261" s="947">
        <f t="shared" si="76"/>
        <v>0</v>
      </c>
      <c r="I261" s="947">
        <f t="shared" si="77"/>
        <v>400</v>
      </c>
      <c r="J261" s="1066"/>
      <c r="AA261" s="459">
        <f t="shared" si="74"/>
        <v>0</v>
      </c>
      <c r="AB261" s="459">
        <f t="shared" si="74"/>
        <v>0</v>
      </c>
    </row>
    <row r="262" spans="1:28" s="344" customFormat="1" ht="26.25" customHeight="1">
      <c r="A262" s="1066" t="s">
        <v>2037</v>
      </c>
      <c r="B262" s="995" t="s">
        <v>572</v>
      </c>
      <c r="C262" s="1058">
        <v>2</v>
      </c>
      <c r="D262" s="1066" t="s">
        <v>85</v>
      </c>
      <c r="E262" s="946">
        <f>VLOOKUP(B262,$O$2:$Q$13,2,0)</f>
        <v>56.78</v>
      </c>
      <c r="F262" s="946">
        <f t="shared" si="75"/>
        <v>113.56</v>
      </c>
      <c r="G262" s="946">
        <f>VLOOKUP(B262,$O$2:$Q$13,3,0)</f>
        <v>0</v>
      </c>
      <c r="H262" s="947">
        <f t="shared" si="76"/>
        <v>0</v>
      </c>
      <c r="I262" s="947">
        <f t="shared" si="77"/>
        <v>113.56</v>
      </c>
      <c r="J262" s="1066"/>
      <c r="AA262" s="459">
        <f t="shared" si="74"/>
        <v>0</v>
      </c>
      <c r="AB262" s="459">
        <f t="shared" si="74"/>
        <v>0</v>
      </c>
    </row>
    <row r="263" spans="1:28" s="344" customFormat="1" ht="26.25" customHeight="1">
      <c r="A263" s="1066" t="s">
        <v>2038</v>
      </c>
      <c r="B263" s="995" t="s">
        <v>573</v>
      </c>
      <c r="C263" s="1058">
        <v>5</v>
      </c>
      <c r="D263" s="1066" t="s">
        <v>85</v>
      </c>
      <c r="E263" s="946">
        <v>33</v>
      </c>
      <c r="F263" s="946">
        <f t="shared" si="75"/>
        <v>165</v>
      </c>
      <c r="G263" s="946">
        <f>VLOOKUP(B263,$O$2:$Q$13,3,0)</f>
        <v>0</v>
      </c>
      <c r="H263" s="947">
        <f t="shared" si="76"/>
        <v>0</v>
      </c>
      <c r="I263" s="947">
        <f t="shared" si="77"/>
        <v>165</v>
      </c>
      <c r="J263" s="1066"/>
      <c r="AA263" s="459">
        <f t="shared" si="74"/>
        <v>0</v>
      </c>
      <c r="AB263" s="459">
        <f t="shared" si="74"/>
        <v>0</v>
      </c>
    </row>
    <row r="264" spans="1:28" s="344" customFormat="1" ht="26.25" customHeight="1">
      <c r="A264" s="1089"/>
      <c r="B264" s="563" t="s">
        <v>1337</v>
      </c>
      <c r="C264" s="1090"/>
      <c r="D264" s="1089"/>
      <c r="E264" s="1091"/>
      <c r="F264" s="1091"/>
      <c r="G264" s="1091"/>
      <c r="H264" s="1092"/>
      <c r="I264" s="1093">
        <f>SUM(I255:I263)</f>
        <v>15378.51</v>
      </c>
      <c r="J264" s="1089"/>
      <c r="AA264" s="459"/>
      <c r="AB264" s="459"/>
    </row>
    <row r="265" spans="1:28" s="344" customFormat="1" ht="26.25" customHeight="1">
      <c r="A265" s="1072"/>
      <c r="B265" s="551" t="s">
        <v>1274</v>
      </c>
      <c r="C265" s="1071"/>
      <c r="D265" s="1072"/>
      <c r="E265" s="1094"/>
      <c r="F265" s="1094"/>
      <c r="G265" s="1094"/>
      <c r="H265" s="1081"/>
      <c r="I265" s="1095">
        <f>I132+I143+I154+I165+I176+I187+I198+I209+I220+I231+I242+I253+I264</f>
        <v>756280.43</v>
      </c>
      <c r="J265" s="1072"/>
      <c r="AA265" s="459"/>
      <c r="AB265" s="459"/>
    </row>
    <row r="266" spans="1:28" s="344" customFormat="1" ht="26.25" customHeight="1">
      <c r="A266" s="1051">
        <v>2.6</v>
      </c>
      <c r="B266" s="1096" t="s">
        <v>580</v>
      </c>
      <c r="C266" s="1053"/>
      <c r="D266" s="1054"/>
      <c r="E266" s="1055"/>
      <c r="F266" s="1056"/>
      <c r="G266" s="1055"/>
      <c r="H266" s="1056"/>
      <c r="I266" s="1056"/>
      <c r="J266" s="1057"/>
      <c r="AA266" s="459">
        <f t="shared" si="74"/>
        <v>0</v>
      </c>
      <c r="AB266" s="459">
        <f t="shared" si="74"/>
        <v>0</v>
      </c>
    </row>
    <row r="267" spans="1:28" s="344" customFormat="1" ht="26.25" customHeight="1">
      <c r="A267" s="1084" t="s">
        <v>1133</v>
      </c>
      <c r="B267" s="1085" t="s">
        <v>581</v>
      </c>
      <c r="C267" s="1086"/>
      <c r="D267" s="1084"/>
      <c r="E267" s="1087"/>
      <c r="F267" s="1088"/>
      <c r="G267" s="1087"/>
      <c r="H267" s="1088"/>
      <c r="I267" s="1088"/>
      <c r="J267" s="1084"/>
      <c r="AA267" s="459">
        <f t="shared" si="74"/>
        <v>0</v>
      </c>
      <c r="AB267" s="459">
        <f t="shared" si="74"/>
        <v>0</v>
      </c>
    </row>
    <row r="268" spans="1:28" s="344" customFormat="1" ht="26.25" customHeight="1">
      <c r="A268" s="1066" t="s">
        <v>2039</v>
      </c>
      <c r="B268" s="995" t="s">
        <v>1037</v>
      </c>
      <c r="C268" s="1058">
        <v>241</v>
      </c>
      <c r="D268" s="1066" t="s">
        <v>545</v>
      </c>
      <c r="E268" s="946">
        <v>353</v>
      </c>
      <c r="F268" s="946">
        <f t="shared" ref="F268:F275" si="78">E268*C268</f>
        <v>85073</v>
      </c>
      <c r="G268" s="946">
        <v>99</v>
      </c>
      <c r="H268" s="947">
        <f t="shared" ref="H268:H275" si="79">G268*C268</f>
        <v>23859</v>
      </c>
      <c r="I268" s="947">
        <f t="shared" ref="I268:I275" si="80">H268+F268</f>
        <v>108932</v>
      </c>
      <c r="J268" s="1066"/>
      <c r="AA268" s="459">
        <f t="shared" si="74"/>
        <v>0</v>
      </c>
      <c r="AB268" s="459">
        <f t="shared" si="74"/>
        <v>0</v>
      </c>
    </row>
    <row r="269" spans="1:28" s="344" customFormat="1" ht="26.25" customHeight="1">
      <c r="A269" s="1066" t="s">
        <v>2041</v>
      </c>
      <c r="B269" s="995" t="s">
        <v>566</v>
      </c>
      <c r="C269" s="1058">
        <v>14</v>
      </c>
      <c r="D269" s="1066" t="s">
        <v>545</v>
      </c>
      <c r="E269" s="946">
        <v>2193</v>
      </c>
      <c r="F269" s="946">
        <f t="shared" si="78"/>
        <v>30702</v>
      </c>
      <c r="G269" s="946">
        <v>306</v>
      </c>
      <c r="H269" s="947">
        <f t="shared" si="79"/>
        <v>4284</v>
      </c>
      <c r="I269" s="947">
        <f t="shared" si="80"/>
        <v>34986</v>
      </c>
      <c r="J269" s="1066"/>
      <c r="AA269" s="459">
        <f t="shared" si="74"/>
        <v>0</v>
      </c>
      <c r="AB269" s="459">
        <f t="shared" si="74"/>
        <v>0</v>
      </c>
    </row>
    <row r="270" spans="1:28" s="344" customFormat="1" ht="26.25" customHeight="1">
      <c r="A270" s="1066" t="s">
        <v>2042</v>
      </c>
      <c r="B270" s="995" t="s">
        <v>567</v>
      </c>
      <c r="C270" s="1058">
        <v>45</v>
      </c>
      <c r="D270" s="1066" t="s">
        <v>545</v>
      </c>
      <c r="E270" s="946">
        <v>2420</v>
      </c>
      <c r="F270" s="946">
        <f t="shared" si="78"/>
        <v>108900</v>
      </c>
      <c r="G270" s="946">
        <v>306</v>
      </c>
      <c r="H270" s="947">
        <f t="shared" si="79"/>
        <v>13770</v>
      </c>
      <c r="I270" s="947">
        <f t="shared" si="80"/>
        <v>122670</v>
      </c>
      <c r="J270" s="1066"/>
      <c r="AA270" s="459">
        <f t="shared" si="74"/>
        <v>0</v>
      </c>
      <c r="AB270" s="459">
        <f t="shared" si="74"/>
        <v>0</v>
      </c>
    </row>
    <row r="271" spans="1:28" s="344" customFormat="1" ht="26.25" customHeight="1">
      <c r="A271" s="1066" t="s">
        <v>2043</v>
      </c>
      <c r="B271" s="995" t="s">
        <v>568</v>
      </c>
      <c r="C271" s="549">
        <v>4112</v>
      </c>
      <c r="D271" s="1066" t="s">
        <v>85</v>
      </c>
      <c r="E271" s="946">
        <v>25.09</v>
      </c>
      <c r="F271" s="946">
        <f t="shared" si="78"/>
        <v>103170.08</v>
      </c>
      <c r="G271" s="946">
        <v>4.0999999999999996</v>
      </c>
      <c r="H271" s="947">
        <f t="shared" si="79"/>
        <v>16859.199999999997</v>
      </c>
      <c r="I271" s="947">
        <f t="shared" si="80"/>
        <v>120029.28</v>
      </c>
      <c r="J271" s="1066"/>
      <c r="AA271" s="459">
        <f t="shared" si="74"/>
        <v>0</v>
      </c>
      <c r="AB271" s="459">
        <f t="shared" si="74"/>
        <v>0</v>
      </c>
    </row>
    <row r="272" spans="1:28" s="344" customFormat="1" ht="26.25" customHeight="1">
      <c r="A272" s="1066" t="s">
        <v>2044</v>
      </c>
      <c r="B272" s="995" t="s">
        <v>570</v>
      </c>
      <c r="C272" s="549">
        <f>C273*0.025*35.31</f>
        <v>7.9447500000000009</v>
      </c>
      <c r="D272" s="1066" t="s">
        <v>598</v>
      </c>
      <c r="E272" s="946">
        <f>VLOOKUP(B272,$O$2:$Q$13,2,0)</f>
        <v>400</v>
      </c>
      <c r="F272" s="946">
        <f t="shared" si="78"/>
        <v>3177.9000000000005</v>
      </c>
      <c r="G272" s="946">
        <f>VLOOKUP(B272,$O$2:$Q$13,3,0)</f>
        <v>0</v>
      </c>
      <c r="H272" s="947">
        <f t="shared" si="79"/>
        <v>0</v>
      </c>
      <c r="I272" s="947">
        <f t="shared" si="80"/>
        <v>3177.9000000000005</v>
      </c>
      <c r="J272" s="1066"/>
      <c r="AA272" s="459">
        <f t="shared" si="74"/>
        <v>0</v>
      </c>
      <c r="AB272" s="459">
        <f t="shared" si="74"/>
        <v>0</v>
      </c>
    </row>
    <row r="273" spans="1:28" s="344" customFormat="1" ht="26.25" customHeight="1">
      <c r="A273" s="1066" t="s">
        <v>2045</v>
      </c>
      <c r="B273" s="995" t="s">
        <v>1036</v>
      </c>
      <c r="C273" s="549">
        <v>9</v>
      </c>
      <c r="D273" s="1066" t="s">
        <v>278</v>
      </c>
      <c r="E273" s="946">
        <f>VLOOKUP(B273,$O$2:$Q$13,2,0)</f>
        <v>0</v>
      </c>
      <c r="F273" s="946">
        <f t="shared" si="78"/>
        <v>0</v>
      </c>
      <c r="G273" s="946">
        <f>VLOOKUP(B273,$O$2:$Q$13,3,0)</f>
        <v>133</v>
      </c>
      <c r="H273" s="947">
        <f t="shared" si="79"/>
        <v>1197</v>
      </c>
      <c r="I273" s="947">
        <f t="shared" si="80"/>
        <v>1197</v>
      </c>
      <c r="J273" s="1066"/>
      <c r="AA273" s="459">
        <f t="shared" si="74"/>
        <v>9</v>
      </c>
      <c r="AB273" s="459">
        <f t="shared" si="74"/>
        <v>0</v>
      </c>
    </row>
    <row r="274" spans="1:28" s="344" customFormat="1" ht="26.25" customHeight="1">
      <c r="A274" s="1066" t="s">
        <v>2046</v>
      </c>
      <c r="B274" s="995" t="s">
        <v>572</v>
      </c>
      <c r="C274" s="1058">
        <v>2</v>
      </c>
      <c r="D274" s="1066" t="s">
        <v>85</v>
      </c>
      <c r="E274" s="946">
        <f>VLOOKUP(B274,$O$2:$Q$13,2,0)</f>
        <v>56.78</v>
      </c>
      <c r="F274" s="946">
        <f t="shared" si="78"/>
        <v>113.56</v>
      </c>
      <c r="G274" s="946">
        <f>VLOOKUP(B274,$O$2:$Q$13,3,0)</f>
        <v>0</v>
      </c>
      <c r="H274" s="947">
        <f t="shared" si="79"/>
        <v>0</v>
      </c>
      <c r="I274" s="947">
        <f t="shared" si="80"/>
        <v>113.56</v>
      </c>
      <c r="J274" s="1066"/>
      <c r="AA274" s="459">
        <f t="shared" si="74"/>
        <v>0</v>
      </c>
      <c r="AB274" s="459">
        <f t="shared" si="74"/>
        <v>0</v>
      </c>
    </row>
    <row r="275" spans="1:28" s="344" customFormat="1" ht="26.25" customHeight="1">
      <c r="A275" s="1066" t="s">
        <v>2047</v>
      </c>
      <c r="B275" s="995" t="s">
        <v>573</v>
      </c>
      <c r="C275" s="1058">
        <v>123</v>
      </c>
      <c r="D275" s="1066" t="s">
        <v>85</v>
      </c>
      <c r="E275" s="946">
        <v>33</v>
      </c>
      <c r="F275" s="946">
        <f t="shared" si="78"/>
        <v>4059</v>
      </c>
      <c r="G275" s="946">
        <f>VLOOKUP(B275,$O$2:$Q$13,3,0)</f>
        <v>0</v>
      </c>
      <c r="H275" s="947">
        <f t="shared" si="79"/>
        <v>0</v>
      </c>
      <c r="I275" s="947">
        <f t="shared" si="80"/>
        <v>4059</v>
      </c>
      <c r="J275" s="1066"/>
      <c r="AA275" s="459">
        <f t="shared" si="74"/>
        <v>0</v>
      </c>
      <c r="AB275" s="459">
        <f t="shared" si="74"/>
        <v>0</v>
      </c>
    </row>
    <row r="276" spans="1:28" s="344" customFormat="1" ht="26.25" customHeight="1">
      <c r="A276" s="1089"/>
      <c r="B276" s="563" t="s">
        <v>1338</v>
      </c>
      <c r="C276" s="1090"/>
      <c r="D276" s="1089"/>
      <c r="E276" s="1091"/>
      <c r="F276" s="1091"/>
      <c r="G276" s="1091"/>
      <c r="H276" s="1092"/>
      <c r="I276" s="1093">
        <f>SUM(I268:I275)</f>
        <v>395164.74000000005</v>
      </c>
      <c r="J276" s="1089"/>
      <c r="AA276" s="459"/>
      <c r="AB276" s="459"/>
    </row>
    <row r="277" spans="1:28" s="344" customFormat="1" ht="26.25" customHeight="1">
      <c r="A277" s="1084" t="s">
        <v>1134</v>
      </c>
      <c r="B277" s="1085" t="s">
        <v>1019</v>
      </c>
      <c r="C277" s="1086"/>
      <c r="D277" s="1084"/>
      <c r="E277" s="1087"/>
      <c r="F277" s="1088"/>
      <c r="G277" s="1087"/>
      <c r="H277" s="1088"/>
      <c r="I277" s="1088"/>
      <c r="J277" s="1084"/>
      <c r="AA277" s="459">
        <f t="shared" si="74"/>
        <v>0</v>
      </c>
      <c r="AB277" s="459">
        <f t="shared" si="74"/>
        <v>0</v>
      </c>
    </row>
    <row r="278" spans="1:28" s="344" customFormat="1" ht="26.25" customHeight="1">
      <c r="A278" s="1066" t="s">
        <v>2048</v>
      </c>
      <c r="B278" s="995" t="s">
        <v>1037</v>
      </c>
      <c r="C278" s="1058">
        <v>41</v>
      </c>
      <c r="D278" s="1066" t="s">
        <v>545</v>
      </c>
      <c r="E278" s="946">
        <v>353</v>
      </c>
      <c r="F278" s="946">
        <f t="shared" ref="F278:F285" si="81">E278*C278</f>
        <v>14473</v>
      </c>
      <c r="G278" s="946">
        <v>99</v>
      </c>
      <c r="H278" s="947">
        <f t="shared" ref="H278:H285" si="82">G278*C278</f>
        <v>4059</v>
      </c>
      <c r="I278" s="947">
        <f t="shared" ref="I278:I285" si="83">H278+F278</f>
        <v>18532</v>
      </c>
      <c r="J278" s="1066"/>
      <c r="AA278" s="459">
        <f t="shared" si="74"/>
        <v>0</v>
      </c>
      <c r="AB278" s="459">
        <f t="shared" si="74"/>
        <v>0</v>
      </c>
    </row>
    <row r="279" spans="1:28" s="344" customFormat="1" ht="26.25" customHeight="1">
      <c r="A279" s="1066" t="s">
        <v>2051</v>
      </c>
      <c r="B279" s="995" t="s">
        <v>566</v>
      </c>
      <c r="C279" s="1058">
        <v>3</v>
      </c>
      <c r="D279" s="1066" t="s">
        <v>545</v>
      </c>
      <c r="E279" s="946">
        <v>2193</v>
      </c>
      <c r="F279" s="946">
        <f t="shared" si="81"/>
        <v>6579</v>
      </c>
      <c r="G279" s="946">
        <v>306</v>
      </c>
      <c r="H279" s="947">
        <f t="shared" si="82"/>
        <v>918</v>
      </c>
      <c r="I279" s="947">
        <f t="shared" si="83"/>
        <v>7497</v>
      </c>
      <c r="J279" s="1066"/>
      <c r="AA279" s="459">
        <f t="shared" si="74"/>
        <v>0</v>
      </c>
      <c r="AB279" s="459">
        <f t="shared" si="74"/>
        <v>0</v>
      </c>
    </row>
    <row r="280" spans="1:28" s="344" customFormat="1" ht="26.25" customHeight="1">
      <c r="A280" s="1066" t="s">
        <v>2050</v>
      </c>
      <c r="B280" s="995" t="s">
        <v>567</v>
      </c>
      <c r="C280" s="1058">
        <v>8</v>
      </c>
      <c r="D280" s="1066" t="s">
        <v>545</v>
      </c>
      <c r="E280" s="946">
        <v>2420</v>
      </c>
      <c r="F280" s="946">
        <f t="shared" si="81"/>
        <v>19360</v>
      </c>
      <c r="G280" s="946">
        <v>306</v>
      </c>
      <c r="H280" s="947">
        <f t="shared" si="82"/>
        <v>2448</v>
      </c>
      <c r="I280" s="947">
        <f t="shared" si="83"/>
        <v>21808</v>
      </c>
      <c r="J280" s="1066"/>
      <c r="AA280" s="459">
        <f t="shared" si="74"/>
        <v>0</v>
      </c>
      <c r="AB280" s="459">
        <f t="shared" si="74"/>
        <v>0</v>
      </c>
    </row>
    <row r="281" spans="1:28" s="344" customFormat="1" ht="26.25" customHeight="1">
      <c r="A281" s="1066" t="s">
        <v>2052</v>
      </c>
      <c r="B281" s="995" t="s">
        <v>569</v>
      </c>
      <c r="C281" s="549">
        <v>1267</v>
      </c>
      <c r="D281" s="1066" t="s">
        <v>85</v>
      </c>
      <c r="E281" s="946">
        <v>26.36</v>
      </c>
      <c r="F281" s="946">
        <f t="shared" si="81"/>
        <v>33398.120000000003</v>
      </c>
      <c r="G281" s="946">
        <v>3.3</v>
      </c>
      <c r="H281" s="947">
        <f t="shared" si="82"/>
        <v>4181.0999999999995</v>
      </c>
      <c r="I281" s="947">
        <f t="shared" si="83"/>
        <v>37579.22</v>
      </c>
      <c r="J281" s="1066"/>
      <c r="AA281" s="459">
        <f t="shared" si="74"/>
        <v>0</v>
      </c>
      <c r="AB281" s="459">
        <f t="shared" si="74"/>
        <v>0</v>
      </c>
    </row>
    <row r="282" spans="1:28" s="344" customFormat="1" ht="25.9" customHeight="1">
      <c r="A282" s="1066" t="s">
        <v>2053</v>
      </c>
      <c r="B282" s="995" t="s">
        <v>570</v>
      </c>
      <c r="C282" s="549">
        <f>C283*0.025*35.31</f>
        <v>8.8275000000000006</v>
      </c>
      <c r="D282" s="1066" t="s">
        <v>598</v>
      </c>
      <c r="E282" s="946">
        <f>VLOOKUP(B282,$O$2:$Q$13,2,0)</f>
        <v>400</v>
      </c>
      <c r="F282" s="946">
        <f t="shared" si="81"/>
        <v>3531</v>
      </c>
      <c r="G282" s="946">
        <f>VLOOKUP(B282,$O$2:$Q$13,3,0)</f>
        <v>0</v>
      </c>
      <c r="H282" s="947">
        <f t="shared" si="82"/>
        <v>0</v>
      </c>
      <c r="I282" s="947">
        <f t="shared" si="83"/>
        <v>3531</v>
      </c>
      <c r="J282" s="1066"/>
      <c r="AA282" s="459">
        <f t="shared" si="74"/>
        <v>0</v>
      </c>
      <c r="AB282" s="459">
        <f t="shared" si="74"/>
        <v>0</v>
      </c>
    </row>
    <row r="283" spans="1:28" s="344" customFormat="1" ht="25.9" customHeight="1">
      <c r="A283" s="1066" t="s">
        <v>2049</v>
      </c>
      <c r="B283" s="995" t="s">
        <v>1036</v>
      </c>
      <c r="C283" s="549">
        <v>10</v>
      </c>
      <c r="D283" s="1066" t="s">
        <v>278</v>
      </c>
      <c r="E283" s="946">
        <f>VLOOKUP(B283,$O$2:$Q$13,2,0)</f>
        <v>0</v>
      </c>
      <c r="F283" s="946">
        <f t="shared" si="81"/>
        <v>0</v>
      </c>
      <c r="G283" s="946">
        <f>VLOOKUP(B283,$O$2:$Q$13,3,0)</f>
        <v>133</v>
      </c>
      <c r="H283" s="947">
        <f t="shared" si="82"/>
        <v>1330</v>
      </c>
      <c r="I283" s="947">
        <f t="shared" si="83"/>
        <v>1330</v>
      </c>
      <c r="J283" s="1066"/>
      <c r="AA283" s="459">
        <f t="shared" si="74"/>
        <v>10</v>
      </c>
      <c r="AB283" s="459">
        <f t="shared" si="74"/>
        <v>0</v>
      </c>
    </row>
    <row r="284" spans="1:28" s="344" customFormat="1" ht="26.25" customHeight="1">
      <c r="A284" s="1066" t="s">
        <v>2054</v>
      </c>
      <c r="B284" s="995" t="s">
        <v>572</v>
      </c>
      <c r="C284" s="1058">
        <v>2</v>
      </c>
      <c r="D284" s="1066" t="s">
        <v>85</v>
      </c>
      <c r="E284" s="946">
        <f>VLOOKUP(B284,$O$2:$Q$13,2,0)</f>
        <v>56.78</v>
      </c>
      <c r="F284" s="946">
        <f t="shared" si="81"/>
        <v>113.56</v>
      </c>
      <c r="G284" s="946">
        <f>VLOOKUP(B284,$O$2:$Q$13,3,0)</f>
        <v>0</v>
      </c>
      <c r="H284" s="947">
        <f t="shared" si="82"/>
        <v>0</v>
      </c>
      <c r="I284" s="947">
        <f t="shared" si="83"/>
        <v>113.56</v>
      </c>
      <c r="J284" s="1066"/>
      <c r="AA284" s="459">
        <f t="shared" si="74"/>
        <v>0</v>
      </c>
      <c r="AB284" s="459">
        <f t="shared" si="74"/>
        <v>0</v>
      </c>
    </row>
    <row r="285" spans="1:28" s="344" customFormat="1" ht="26.25" customHeight="1">
      <c r="A285" s="1066" t="s">
        <v>2055</v>
      </c>
      <c r="B285" s="995" t="s">
        <v>573</v>
      </c>
      <c r="C285" s="1058">
        <v>38</v>
      </c>
      <c r="D285" s="1066" t="s">
        <v>85</v>
      </c>
      <c r="E285" s="946">
        <v>33</v>
      </c>
      <c r="F285" s="946">
        <f t="shared" si="81"/>
        <v>1254</v>
      </c>
      <c r="G285" s="946">
        <f>VLOOKUP(B285,$O$2:$Q$13,3,0)</f>
        <v>0</v>
      </c>
      <c r="H285" s="947">
        <f t="shared" si="82"/>
        <v>0</v>
      </c>
      <c r="I285" s="947">
        <f t="shared" si="83"/>
        <v>1254</v>
      </c>
      <c r="J285" s="1066"/>
      <c r="AA285" s="459">
        <f t="shared" si="74"/>
        <v>0</v>
      </c>
      <c r="AB285" s="459">
        <f t="shared" si="74"/>
        <v>0</v>
      </c>
    </row>
    <row r="286" spans="1:28" s="344" customFormat="1" ht="26.25" customHeight="1">
      <c r="A286" s="1089"/>
      <c r="B286" s="563" t="s">
        <v>1339</v>
      </c>
      <c r="C286" s="1090"/>
      <c r="D286" s="1089"/>
      <c r="E286" s="1091"/>
      <c r="F286" s="1091"/>
      <c r="G286" s="1091"/>
      <c r="H286" s="1092"/>
      <c r="I286" s="1093">
        <f>SUM(I278:I285)</f>
        <v>91644.78</v>
      </c>
      <c r="J286" s="1089"/>
      <c r="AA286" s="459"/>
      <c r="AB286" s="459"/>
    </row>
    <row r="287" spans="1:28" s="344" customFormat="1" ht="26.25" customHeight="1">
      <c r="A287" s="1084" t="s">
        <v>1135</v>
      </c>
      <c r="B287" s="1085" t="s">
        <v>582</v>
      </c>
      <c r="C287" s="1086"/>
      <c r="D287" s="1084"/>
      <c r="E287" s="1087"/>
      <c r="F287" s="1088"/>
      <c r="G287" s="1087"/>
      <c r="H287" s="1088"/>
      <c r="I287" s="1088"/>
      <c r="J287" s="1084"/>
      <c r="AA287" s="459">
        <f t="shared" si="74"/>
        <v>0</v>
      </c>
      <c r="AB287" s="459">
        <f t="shared" si="74"/>
        <v>0</v>
      </c>
    </row>
    <row r="288" spans="1:28" s="344" customFormat="1" ht="26.25" customHeight="1">
      <c r="A288" s="1066" t="s">
        <v>2056</v>
      </c>
      <c r="B288" s="995" t="s">
        <v>1037</v>
      </c>
      <c r="C288" s="1058">
        <v>96</v>
      </c>
      <c r="D288" s="1066" t="s">
        <v>545</v>
      </c>
      <c r="E288" s="946">
        <v>353</v>
      </c>
      <c r="F288" s="946">
        <f t="shared" ref="F288:F295" si="84">E288*C288</f>
        <v>33888</v>
      </c>
      <c r="G288" s="946">
        <v>99</v>
      </c>
      <c r="H288" s="947">
        <f t="shared" ref="H288:H295" si="85">G288*C288</f>
        <v>9504</v>
      </c>
      <c r="I288" s="947">
        <f t="shared" ref="I288:I295" si="86">H288+F288</f>
        <v>43392</v>
      </c>
      <c r="J288" s="1066"/>
      <c r="AA288" s="459">
        <f t="shared" si="74"/>
        <v>0</v>
      </c>
      <c r="AB288" s="459">
        <f t="shared" si="74"/>
        <v>0</v>
      </c>
    </row>
    <row r="289" spans="1:28" s="344" customFormat="1" ht="26.25" customHeight="1">
      <c r="A289" s="1066" t="s">
        <v>2057</v>
      </c>
      <c r="B289" s="995" t="s">
        <v>566</v>
      </c>
      <c r="C289" s="1058">
        <v>6</v>
      </c>
      <c r="D289" s="1066" t="s">
        <v>545</v>
      </c>
      <c r="E289" s="946">
        <v>2193</v>
      </c>
      <c r="F289" s="946">
        <f t="shared" si="84"/>
        <v>13158</v>
      </c>
      <c r="G289" s="946">
        <v>306</v>
      </c>
      <c r="H289" s="947">
        <f t="shared" si="85"/>
        <v>1836</v>
      </c>
      <c r="I289" s="947">
        <f t="shared" si="86"/>
        <v>14994</v>
      </c>
      <c r="J289" s="1066"/>
      <c r="AA289" s="459">
        <f t="shared" si="74"/>
        <v>0</v>
      </c>
      <c r="AB289" s="459">
        <f t="shared" si="74"/>
        <v>0</v>
      </c>
    </row>
    <row r="290" spans="1:28" s="344" customFormat="1" ht="26.25" customHeight="1">
      <c r="A290" s="1066" t="s">
        <v>2040</v>
      </c>
      <c r="B290" s="995" t="s">
        <v>567</v>
      </c>
      <c r="C290" s="1058">
        <v>18</v>
      </c>
      <c r="D290" s="1066" t="s">
        <v>545</v>
      </c>
      <c r="E290" s="946">
        <v>2420</v>
      </c>
      <c r="F290" s="946">
        <f t="shared" si="84"/>
        <v>43560</v>
      </c>
      <c r="G290" s="946">
        <v>306</v>
      </c>
      <c r="H290" s="947">
        <f t="shared" si="85"/>
        <v>5508</v>
      </c>
      <c r="I290" s="947">
        <f t="shared" si="86"/>
        <v>49068</v>
      </c>
      <c r="J290" s="1066"/>
      <c r="AA290" s="459">
        <f t="shared" si="74"/>
        <v>0</v>
      </c>
      <c r="AB290" s="459">
        <f t="shared" si="74"/>
        <v>0</v>
      </c>
    </row>
    <row r="291" spans="1:28" s="344" customFormat="1" ht="26.25" customHeight="1">
      <c r="A291" s="1066" t="s">
        <v>2058</v>
      </c>
      <c r="B291" s="995" t="s">
        <v>568</v>
      </c>
      <c r="C291" s="1058">
        <v>1721</v>
      </c>
      <c r="D291" s="1066" t="s">
        <v>85</v>
      </c>
      <c r="E291" s="946">
        <v>25.09</v>
      </c>
      <c r="F291" s="946">
        <f t="shared" si="84"/>
        <v>43179.89</v>
      </c>
      <c r="G291" s="946">
        <v>4.0999999999999996</v>
      </c>
      <c r="H291" s="947">
        <f t="shared" si="85"/>
        <v>7056.0999999999995</v>
      </c>
      <c r="I291" s="947">
        <f t="shared" si="86"/>
        <v>50235.99</v>
      </c>
      <c r="J291" s="1066"/>
      <c r="AA291" s="459">
        <f t="shared" si="74"/>
        <v>0</v>
      </c>
      <c r="AB291" s="459">
        <f t="shared" si="74"/>
        <v>0</v>
      </c>
    </row>
    <row r="292" spans="1:28" s="344" customFormat="1" ht="25.9" customHeight="1">
      <c r="A292" s="1066" t="s">
        <v>2059</v>
      </c>
      <c r="B292" s="995" t="s">
        <v>570</v>
      </c>
      <c r="C292" s="549">
        <f>C293*0.025*35.31</f>
        <v>4.4137500000000003</v>
      </c>
      <c r="D292" s="1066" t="s">
        <v>598</v>
      </c>
      <c r="E292" s="946">
        <f>VLOOKUP(B292,$O$2:$Q$13,2,0)</f>
        <v>400</v>
      </c>
      <c r="F292" s="946">
        <f t="shared" si="84"/>
        <v>1765.5</v>
      </c>
      <c r="G292" s="946">
        <f>VLOOKUP(B292,$O$2:$Q$13,3,0)</f>
        <v>0</v>
      </c>
      <c r="H292" s="947">
        <f t="shared" si="85"/>
        <v>0</v>
      </c>
      <c r="I292" s="947">
        <f t="shared" si="86"/>
        <v>1765.5</v>
      </c>
      <c r="J292" s="1066"/>
      <c r="AA292" s="459">
        <f t="shared" si="74"/>
        <v>0</v>
      </c>
      <c r="AB292" s="459">
        <f t="shared" si="74"/>
        <v>0</v>
      </c>
    </row>
    <row r="293" spans="1:28" s="344" customFormat="1" ht="25.9" customHeight="1">
      <c r="A293" s="1066" t="s">
        <v>2060</v>
      </c>
      <c r="B293" s="995" t="s">
        <v>1036</v>
      </c>
      <c r="C293" s="549">
        <v>5</v>
      </c>
      <c r="D293" s="1066" t="s">
        <v>278</v>
      </c>
      <c r="E293" s="946">
        <f>VLOOKUP(B293,$O$2:$Q$13,2,0)</f>
        <v>0</v>
      </c>
      <c r="F293" s="946">
        <f t="shared" si="84"/>
        <v>0</v>
      </c>
      <c r="G293" s="946">
        <f>VLOOKUP(B293,$O$2:$Q$13,3,0)</f>
        <v>133</v>
      </c>
      <c r="H293" s="947">
        <f t="shared" si="85"/>
        <v>665</v>
      </c>
      <c r="I293" s="947">
        <f t="shared" si="86"/>
        <v>665</v>
      </c>
      <c r="J293" s="1066"/>
      <c r="AA293" s="459">
        <f t="shared" si="74"/>
        <v>5</v>
      </c>
      <c r="AB293" s="459">
        <f t="shared" si="74"/>
        <v>0</v>
      </c>
    </row>
    <row r="294" spans="1:28" s="344" customFormat="1" ht="26.25" customHeight="1">
      <c r="A294" s="1066" t="s">
        <v>2061</v>
      </c>
      <c r="B294" s="995" t="s">
        <v>572</v>
      </c>
      <c r="C294" s="1058">
        <v>1</v>
      </c>
      <c r="D294" s="1066" t="s">
        <v>85</v>
      </c>
      <c r="E294" s="946">
        <f>VLOOKUP(B294,$O$2:$Q$13,2,0)</f>
        <v>56.78</v>
      </c>
      <c r="F294" s="946">
        <f t="shared" si="84"/>
        <v>56.78</v>
      </c>
      <c r="G294" s="946">
        <f>VLOOKUP(B294,$O$2:$Q$13,3,0)</f>
        <v>0</v>
      </c>
      <c r="H294" s="947">
        <f t="shared" si="85"/>
        <v>0</v>
      </c>
      <c r="I294" s="947">
        <f t="shared" si="86"/>
        <v>56.78</v>
      </c>
      <c r="J294" s="1066"/>
      <c r="AA294" s="459">
        <f t="shared" si="74"/>
        <v>0</v>
      </c>
      <c r="AB294" s="459">
        <f t="shared" si="74"/>
        <v>0</v>
      </c>
    </row>
    <row r="295" spans="1:28" s="344" customFormat="1" ht="26.25" customHeight="1">
      <c r="A295" s="1066" t="s">
        <v>2062</v>
      </c>
      <c r="B295" s="995" t="s">
        <v>573</v>
      </c>
      <c r="C295" s="1058">
        <v>52</v>
      </c>
      <c r="D295" s="1066" t="s">
        <v>85</v>
      </c>
      <c r="E295" s="946">
        <v>33</v>
      </c>
      <c r="F295" s="946">
        <f t="shared" si="84"/>
        <v>1716</v>
      </c>
      <c r="G295" s="946">
        <f>VLOOKUP(B295,$O$2:$Q$13,3,0)</f>
        <v>0</v>
      </c>
      <c r="H295" s="947">
        <f t="shared" si="85"/>
        <v>0</v>
      </c>
      <c r="I295" s="947">
        <f t="shared" si="86"/>
        <v>1716</v>
      </c>
      <c r="J295" s="1066"/>
      <c r="AA295" s="459">
        <f t="shared" si="74"/>
        <v>0</v>
      </c>
      <c r="AB295" s="459">
        <f t="shared" si="74"/>
        <v>0</v>
      </c>
    </row>
    <row r="296" spans="1:28" s="344" customFormat="1" ht="26.25" customHeight="1">
      <c r="A296" s="1089"/>
      <c r="B296" s="563" t="s">
        <v>1340</v>
      </c>
      <c r="C296" s="1090"/>
      <c r="D296" s="1089"/>
      <c r="E296" s="1091"/>
      <c r="F296" s="1091"/>
      <c r="G296" s="1091"/>
      <c r="H296" s="1092"/>
      <c r="I296" s="1093">
        <f>SUM(I288:I295)</f>
        <v>161893.26999999999</v>
      </c>
      <c r="J296" s="1089"/>
      <c r="AA296" s="459"/>
      <c r="AB296" s="459"/>
    </row>
    <row r="297" spans="1:28" s="344" customFormat="1" ht="26.25" customHeight="1">
      <c r="A297" s="1084" t="s">
        <v>1136</v>
      </c>
      <c r="B297" s="1085" t="s">
        <v>583</v>
      </c>
      <c r="C297" s="1086"/>
      <c r="D297" s="1084"/>
      <c r="E297" s="1087"/>
      <c r="F297" s="1088"/>
      <c r="G297" s="1087"/>
      <c r="H297" s="1088"/>
      <c r="I297" s="1088"/>
      <c r="J297" s="1084"/>
      <c r="AA297" s="459">
        <f t="shared" si="74"/>
        <v>0</v>
      </c>
      <c r="AB297" s="459">
        <f t="shared" si="74"/>
        <v>0</v>
      </c>
    </row>
    <row r="298" spans="1:28" s="344" customFormat="1" ht="26.25" customHeight="1">
      <c r="A298" s="1066" t="s">
        <v>2063</v>
      </c>
      <c r="B298" s="995" t="s">
        <v>584</v>
      </c>
      <c r="C298" s="1058">
        <v>229</v>
      </c>
      <c r="D298" s="1066" t="s">
        <v>278</v>
      </c>
      <c r="E298" s="946">
        <v>258</v>
      </c>
      <c r="F298" s="946">
        <f t="shared" ref="F298:F305" si="87">E298*C298</f>
        <v>59082</v>
      </c>
      <c r="G298" s="946">
        <v>25</v>
      </c>
      <c r="H298" s="947">
        <f t="shared" ref="H298:H305" si="88">G298*C298</f>
        <v>5725</v>
      </c>
      <c r="I298" s="947">
        <f t="shared" ref="I298:I305" si="89">H298+F298</f>
        <v>64807</v>
      </c>
      <c r="J298" s="1066"/>
      <c r="AA298" s="459">
        <f t="shared" si="74"/>
        <v>0</v>
      </c>
      <c r="AB298" s="459">
        <f t="shared" si="74"/>
        <v>0</v>
      </c>
    </row>
    <row r="299" spans="1:28" s="344" customFormat="1" ht="26.25" customHeight="1">
      <c r="A299" s="1066" t="s">
        <v>2064</v>
      </c>
      <c r="B299" s="995" t="s">
        <v>567</v>
      </c>
      <c r="C299" s="1058">
        <v>12</v>
      </c>
      <c r="D299" s="1066" t="s">
        <v>545</v>
      </c>
      <c r="E299" s="946">
        <v>2420</v>
      </c>
      <c r="F299" s="946">
        <f t="shared" si="87"/>
        <v>29040</v>
      </c>
      <c r="G299" s="946">
        <v>306</v>
      </c>
      <c r="H299" s="947">
        <f t="shared" si="88"/>
        <v>3672</v>
      </c>
      <c r="I299" s="947">
        <f t="shared" si="89"/>
        <v>32712</v>
      </c>
      <c r="J299" s="1066"/>
      <c r="AA299" s="459">
        <f t="shared" si="74"/>
        <v>0</v>
      </c>
      <c r="AB299" s="459">
        <f t="shared" si="74"/>
        <v>0</v>
      </c>
    </row>
    <row r="300" spans="1:28" s="344" customFormat="1" ht="26.25" customHeight="1">
      <c r="A300" s="1066" t="s">
        <v>2065</v>
      </c>
      <c r="B300" s="995" t="s">
        <v>585</v>
      </c>
      <c r="C300" s="1058">
        <v>229</v>
      </c>
      <c r="D300" s="1066" t="s">
        <v>278</v>
      </c>
      <c r="E300" s="946">
        <v>35.5</v>
      </c>
      <c r="F300" s="946">
        <f t="shared" si="87"/>
        <v>8129.5</v>
      </c>
      <c r="G300" s="946">
        <v>5</v>
      </c>
      <c r="H300" s="947">
        <f t="shared" si="88"/>
        <v>1145</v>
      </c>
      <c r="I300" s="947">
        <f t="shared" si="89"/>
        <v>9274.5</v>
      </c>
      <c r="J300" s="1066"/>
      <c r="AA300" s="459">
        <f t="shared" si="74"/>
        <v>0</v>
      </c>
      <c r="AB300" s="459">
        <f t="shared" si="74"/>
        <v>0</v>
      </c>
    </row>
    <row r="301" spans="1:28" s="344" customFormat="1" ht="26.25" customHeight="1">
      <c r="A301" s="1066" t="s">
        <v>2066</v>
      </c>
      <c r="B301" s="995" t="s">
        <v>576</v>
      </c>
      <c r="C301" s="549">
        <v>500</v>
      </c>
      <c r="D301" s="1066" t="s">
        <v>85</v>
      </c>
      <c r="E301" s="946">
        <v>26.03</v>
      </c>
      <c r="F301" s="946">
        <f t="shared" si="87"/>
        <v>13015</v>
      </c>
      <c r="G301" s="946">
        <v>4.0999999999999996</v>
      </c>
      <c r="H301" s="947">
        <f t="shared" si="88"/>
        <v>2050</v>
      </c>
      <c r="I301" s="947">
        <f t="shared" si="89"/>
        <v>15065</v>
      </c>
      <c r="J301" s="1066"/>
      <c r="AA301" s="459">
        <f t="shared" si="74"/>
        <v>0</v>
      </c>
      <c r="AB301" s="459">
        <f t="shared" si="74"/>
        <v>0</v>
      </c>
    </row>
    <row r="302" spans="1:28" s="344" customFormat="1" ht="26.25" customHeight="1">
      <c r="A302" s="1066" t="s">
        <v>2067</v>
      </c>
      <c r="B302" s="995" t="s">
        <v>570</v>
      </c>
      <c r="C302" s="549">
        <f>C303*0.025*35.31</f>
        <v>13.241250000000001</v>
      </c>
      <c r="D302" s="1066" t="s">
        <v>598</v>
      </c>
      <c r="E302" s="946">
        <f>VLOOKUP(B302,$O$2:$Q$13,2,0)</f>
        <v>400</v>
      </c>
      <c r="F302" s="946">
        <f t="shared" si="87"/>
        <v>5296.5</v>
      </c>
      <c r="G302" s="946">
        <f>VLOOKUP(B302,$O$2:$Q$13,3,0)</f>
        <v>0</v>
      </c>
      <c r="H302" s="947">
        <f t="shared" si="88"/>
        <v>0</v>
      </c>
      <c r="I302" s="947">
        <f t="shared" si="89"/>
        <v>5296.5</v>
      </c>
      <c r="J302" s="1066"/>
      <c r="AA302" s="459">
        <f t="shared" si="74"/>
        <v>0</v>
      </c>
      <c r="AB302" s="459">
        <f t="shared" si="74"/>
        <v>0</v>
      </c>
    </row>
    <row r="303" spans="1:28" s="344" customFormat="1" ht="26.25" customHeight="1">
      <c r="A303" s="1066" t="s">
        <v>2068</v>
      </c>
      <c r="B303" s="995" t="s">
        <v>1036</v>
      </c>
      <c r="C303" s="549">
        <v>15</v>
      </c>
      <c r="D303" s="1066" t="s">
        <v>278</v>
      </c>
      <c r="E303" s="946">
        <f>VLOOKUP(B303,$O$2:$Q$13,2,0)</f>
        <v>0</v>
      </c>
      <c r="F303" s="946">
        <f t="shared" si="87"/>
        <v>0</v>
      </c>
      <c r="G303" s="946">
        <f>VLOOKUP(B303,$O$2:$Q$13,3,0)</f>
        <v>133</v>
      </c>
      <c r="H303" s="947">
        <f t="shared" si="88"/>
        <v>1995</v>
      </c>
      <c r="I303" s="947">
        <f t="shared" si="89"/>
        <v>1995</v>
      </c>
      <c r="J303" s="1066"/>
      <c r="AA303" s="459">
        <f t="shared" si="74"/>
        <v>15</v>
      </c>
      <c r="AB303" s="459">
        <f t="shared" si="74"/>
        <v>0</v>
      </c>
    </row>
    <row r="304" spans="1:28" s="344" customFormat="1" ht="26.25" customHeight="1">
      <c r="A304" s="1066" t="s">
        <v>2069</v>
      </c>
      <c r="B304" s="995" t="s">
        <v>572</v>
      </c>
      <c r="C304" s="1058">
        <v>5</v>
      </c>
      <c r="D304" s="1066" t="s">
        <v>85</v>
      </c>
      <c r="E304" s="946">
        <f>VLOOKUP(B304,$O$2:$Q$13,2,0)</f>
        <v>56.78</v>
      </c>
      <c r="F304" s="946">
        <f t="shared" si="87"/>
        <v>283.89999999999998</v>
      </c>
      <c r="G304" s="946">
        <f>VLOOKUP(B304,$O$2:$Q$13,3,0)</f>
        <v>0</v>
      </c>
      <c r="H304" s="947">
        <f t="shared" si="88"/>
        <v>0</v>
      </c>
      <c r="I304" s="947">
        <f t="shared" si="89"/>
        <v>283.89999999999998</v>
      </c>
      <c r="J304" s="1066"/>
      <c r="AA304" s="459">
        <f t="shared" si="74"/>
        <v>0</v>
      </c>
      <c r="AB304" s="459">
        <f t="shared" si="74"/>
        <v>0</v>
      </c>
    </row>
    <row r="305" spans="1:28" s="344" customFormat="1" ht="26.25" customHeight="1">
      <c r="A305" s="1066" t="s">
        <v>2070</v>
      </c>
      <c r="B305" s="995" t="s">
        <v>573</v>
      </c>
      <c r="C305" s="1058">
        <v>20</v>
      </c>
      <c r="D305" s="1066" t="s">
        <v>85</v>
      </c>
      <c r="E305" s="946">
        <v>33</v>
      </c>
      <c r="F305" s="946">
        <f t="shared" si="87"/>
        <v>660</v>
      </c>
      <c r="G305" s="946">
        <f>VLOOKUP(B305,$O$2:$Q$13,3,0)</f>
        <v>0</v>
      </c>
      <c r="H305" s="947">
        <f t="shared" si="88"/>
        <v>0</v>
      </c>
      <c r="I305" s="947">
        <f t="shared" si="89"/>
        <v>660</v>
      </c>
      <c r="J305" s="1066"/>
      <c r="AA305" s="459">
        <f t="shared" si="74"/>
        <v>0</v>
      </c>
      <c r="AB305" s="459">
        <f t="shared" si="74"/>
        <v>0</v>
      </c>
    </row>
    <row r="306" spans="1:28" s="344" customFormat="1" ht="26.25" customHeight="1">
      <c r="A306" s="1089"/>
      <c r="B306" s="563" t="s">
        <v>1341</v>
      </c>
      <c r="C306" s="1090"/>
      <c r="D306" s="1089"/>
      <c r="E306" s="1091"/>
      <c r="F306" s="1091"/>
      <c r="G306" s="1091"/>
      <c r="H306" s="1092"/>
      <c r="I306" s="1093">
        <f>SUM(I298:I305)</f>
        <v>130093.9</v>
      </c>
      <c r="J306" s="1089"/>
      <c r="AA306" s="459"/>
      <c r="AB306" s="459"/>
    </row>
    <row r="307" spans="1:28" s="344" customFormat="1" ht="26.25" customHeight="1">
      <c r="A307" s="1072"/>
      <c r="B307" s="551" t="s">
        <v>1275</v>
      </c>
      <c r="C307" s="1071"/>
      <c r="D307" s="1072"/>
      <c r="E307" s="1094"/>
      <c r="F307" s="1094"/>
      <c r="G307" s="1094"/>
      <c r="H307" s="1081"/>
      <c r="I307" s="1095">
        <f>I276+I286+I296+I306</f>
        <v>778796.69000000006</v>
      </c>
      <c r="J307" s="1072"/>
      <c r="AA307" s="459"/>
      <c r="AB307" s="459"/>
    </row>
    <row r="308" spans="1:28" s="344" customFormat="1" ht="26.25" customHeight="1">
      <c r="A308" s="1051">
        <v>2.7</v>
      </c>
      <c r="B308" s="1096" t="s">
        <v>586</v>
      </c>
      <c r="C308" s="1053"/>
      <c r="D308" s="1054"/>
      <c r="E308" s="1055"/>
      <c r="F308" s="1056"/>
      <c r="G308" s="1055"/>
      <c r="H308" s="1056"/>
      <c r="I308" s="1056"/>
      <c r="J308" s="1057"/>
      <c r="AA308" s="459">
        <f t="shared" si="74"/>
        <v>0</v>
      </c>
      <c r="AB308" s="459">
        <f t="shared" si="74"/>
        <v>0</v>
      </c>
    </row>
    <row r="309" spans="1:28" s="344" customFormat="1" ht="26.25" customHeight="1">
      <c r="A309" s="1084" t="s">
        <v>1137</v>
      </c>
      <c r="B309" s="1085" t="s">
        <v>158</v>
      </c>
      <c r="C309" s="1086"/>
      <c r="D309" s="1084"/>
      <c r="E309" s="1087"/>
      <c r="F309" s="1088"/>
      <c r="G309" s="1087"/>
      <c r="H309" s="1088"/>
      <c r="I309" s="1088"/>
      <c r="J309" s="1084"/>
      <c r="AA309" s="459">
        <f t="shared" si="74"/>
        <v>0</v>
      </c>
      <c r="AB309" s="459">
        <f t="shared" si="74"/>
        <v>0</v>
      </c>
    </row>
    <row r="310" spans="1:28" s="344" customFormat="1" ht="26.25" customHeight="1">
      <c r="A310" s="1066" t="s">
        <v>2071</v>
      </c>
      <c r="B310" s="995" t="s">
        <v>567</v>
      </c>
      <c r="C310" s="1058">
        <v>15</v>
      </c>
      <c r="D310" s="1066" t="s">
        <v>545</v>
      </c>
      <c r="E310" s="946">
        <v>2420</v>
      </c>
      <c r="F310" s="946">
        <f t="shared" ref="F310:F317" si="90">E310*C310</f>
        <v>36300</v>
      </c>
      <c r="G310" s="946">
        <v>306</v>
      </c>
      <c r="H310" s="947">
        <f t="shared" ref="H310:H317" si="91">G310*C310</f>
        <v>4590</v>
      </c>
      <c r="I310" s="947">
        <f t="shared" ref="I310:I317" si="92">H310+F310</f>
        <v>40890</v>
      </c>
      <c r="J310" s="1066"/>
      <c r="AA310" s="459">
        <f t="shared" si="74"/>
        <v>0</v>
      </c>
      <c r="AB310" s="459">
        <f t="shared" si="74"/>
        <v>0</v>
      </c>
    </row>
    <row r="311" spans="1:28" s="344" customFormat="1" ht="26.25" customHeight="1">
      <c r="A311" s="1066" t="s">
        <v>2074</v>
      </c>
      <c r="B311" s="995" t="s">
        <v>576</v>
      </c>
      <c r="C311" s="1058">
        <v>229</v>
      </c>
      <c r="D311" s="1066" t="s">
        <v>85</v>
      </c>
      <c r="E311" s="946">
        <v>26.03</v>
      </c>
      <c r="F311" s="946">
        <f t="shared" si="90"/>
        <v>5960.87</v>
      </c>
      <c r="G311" s="946">
        <v>4.0999999999999996</v>
      </c>
      <c r="H311" s="947">
        <f t="shared" si="91"/>
        <v>938.89999999999986</v>
      </c>
      <c r="I311" s="947">
        <f t="shared" si="92"/>
        <v>6899.7699999999995</v>
      </c>
      <c r="J311" s="1066"/>
      <c r="AA311" s="459">
        <f t="shared" si="74"/>
        <v>0</v>
      </c>
      <c r="AB311" s="459">
        <f t="shared" si="74"/>
        <v>0</v>
      </c>
    </row>
    <row r="312" spans="1:28" s="344" customFormat="1" ht="26.25" customHeight="1">
      <c r="A312" s="1066" t="s">
        <v>2075</v>
      </c>
      <c r="B312" s="995" t="s">
        <v>574</v>
      </c>
      <c r="C312" s="549">
        <v>2126</v>
      </c>
      <c r="D312" s="1066" t="s">
        <v>85</v>
      </c>
      <c r="E312" s="946">
        <v>26.36</v>
      </c>
      <c r="F312" s="946">
        <f t="shared" si="90"/>
        <v>56041.36</v>
      </c>
      <c r="G312" s="946">
        <v>3.3</v>
      </c>
      <c r="H312" s="947">
        <f t="shared" si="91"/>
        <v>7015.7999999999993</v>
      </c>
      <c r="I312" s="947">
        <f t="shared" si="92"/>
        <v>63057.16</v>
      </c>
      <c r="J312" s="1066"/>
      <c r="AA312" s="459">
        <f t="shared" si="74"/>
        <v>0</v>
      </c>
      <c r="AB312" s="459">
        <f t="shared" si="74"/>
        <v>0</v>
      </c>
    </row>
    <row r="313" spans="1:28" s="344" customFormat="1" ht="26.25" customHeight="1">
      <c r="A313" s="1066" t="s">
        <v>2076</v>
      </c>
      <c r="B313" s="995" t="s">
        <v>570</v>
      </c>
      <c r="C313" s="549">
        <f>C314*0.025*35.31</f>
        <v>160.66050000000001</v>
      </c>
      <c r="D313" s="1066" t="s">
        <v>598</v>
      </c>
      <c r="E313" s="946">
        <f>VLOOKUP(B313,$O$2:$Q$13,2,0)</f>
        <v>400</v>
      </c>
      <c r="F313" s="946">
        <f t="shared" si="90"/>
        <v>64264.200000000004</v>
      </c>
      <c r="G313" s="946">
        <f>VLOOKUP(B313,$O$2:$Q$13,3,0)</f>
        <v>0</v>
      </c>
      <c r="H313" s="947">
        <f t="shared" si="91"/>
        <v>0</v>
      </c>
      <c r="I313" s="947">
        <f t="shared" si="92"/>
        <v>64264.200000000004</v>
      </c>
      <c r="J313" s="1066"/>
      <c r="AA313" s="459">
        <f t="shared" si="74"/>
        <v>0</v>
      </c>
      <c r="AB313" s="459">
        <f t="shared" si="74"/>
        <v>0</v>
      </c>
    </row>
    <row r="314" spans="1:28" s="344" customFormat="1" ht="25.9" customHeight="1">
      <c r="A314" s="1066" t="s">
        <v>2077</v>
      </c>
      <c r="B314" s="995" t="s">
        <v>1036</v>
      </c>
      <c r="C314" s="549">
        <v>182</v>
      </c>
      <c r="D314" s="1066" t="s">
        <v>278</v>
      </c>
      <c r="E314" s="946">
        <f>VLOOKUP(B314,$O$2:$Q$13,2,0)</f>
        <v>0</v>
      </c>
      <c r="F314" s="946">
        <f t="shared" si="90"/>
        <v>0</v>
      </c>
      <c r="G314" s="946">
        <f>VLOOKUP(B314,$O$2:$Q$13,3,0)</f>
        <v>133</v>
      </c>
      <c r="H314" s="947">
        <f t="shared" si="91"/>
        <v>24206</v>
      </c>
      <c r="I314" s="947">
        <f t="shared" si="92"/>
        <v>24206</v>
      </c>
      <c r="J314" s="1066"/>
      <c r="AA314" s="459">
        <f t="shared" si="74"/>
        <v>182</v>
      </c>
      <c r="AB314" s="459">
        <f t="shared" si="74"/>
        <v>0</v>
      </c>
    </row>
    <row r="315" spans="1:28" s="344" customFormat="1" ht="26.25" customHeight="1">
      <c r="A315" s="1066" t="s">
        <v>2078</v>
      </c>
      <c r="B315" s="995" t="s">
        <v>571</v>
      </c>
      <c r="C315" s="549">
        <v>19</v>
      </c>
      <c r="D315" s="1066" t="s">
        <v>598</v>
      </c>
      <c r="E315" s="946">
        <f>VLOOKUP(B315,$O$2:$Q$13,2,0)</f>
        <v>400</v>
      </c>
      <c r="F315" s="946">
        <f t="shared" si="90"/>
        <v>7600</v>
      </c>
      <c r="G315" s="946">
        <f>VLOOKUP(B315,$O$2:$Q$13,3,0)</f>
        <v>0</v>
      </c>
      <c r="H315" s="947">
        <f t="shared" si="91"/>
        <v>0</v>
      </c>
      <c r="I315" s="947">
        <f t="shared" si="92"/>
        <v>7600</v>
      </c>
      <c r="J315" s="1066"/>
      <c r="AA315" s="459">
        <f t="shared" si="74"/>
        <v>0</v>
      </c>
      <c r="AB315" s="459">
        <f t="shared" si="74"/>
        <v>0</v>
      </c>
    </row>
    <row r="316" spans="1:28" s="344" customFormat="1" ht="26.25" customHeight="1">
      <c r="A316" s="1066" t="s">
        <v>2079</v>
      </c>
      <c r="B316" s="995" t="s">
        <v>572</v>
      </c>
      <c r="C316" s="1058">
        <v>36</v>
      </c>
      <c r="D316" s="1066" t="s">
        <v>85</v>
      </c>
      <c r="E316" s="946">
        <f>VLOOKUP(B316,$O$2:$Q$13,2,0)</f>
        <v>56.78</v>
      </c>
      <c r="F316" s="946">
        <f t="shared" si="90"/>
        <v>2044.08</v>
      </c>
      <c r="G316" s="946">
        <f>VLOOKUP(B316,$O$2:$Q$13,3,0)</f>
        <v>0</v>
      </c>
      <c r="H316" s="947">
        <f t="shared" si="91"/>
        <v>0</v>
      </c>
      <c r="I316" s="947">
        <f t="shared" si="92"/>
        <v>2044.08</v>
      </c>
      <c r="J316" s="1066"/>
      <c r="AA316" s="459">
        <f t="shared" si="74"/>
        <v>0</v>
      </c>
      <c r="AB316" s="459">
        <f t="shared" si="74"/>
        <v>0</v>
      </c>
    </row>
    <row r="317" spans="1:28" s="344" customFormat="1" ht="26.25" customHeight="1">
      <c r="A317" s="1066" t="s">
        <v>2080</v>
      </c>
      <c r="B317" s="995" t="s">
        <v>573</v>
      </c>
      <c r="C317" s="1058">
        <v>70</v>
      </c>
      <c r="D317" s="1066" t="s">
        <v>85</v>
      </c>
      <c r="E317" s="946">
        <v>33</v>
      </c>
      <c r="F317" s="946">
        <f t="shared" si="90"/>
        <v>2310</v>
      </c>
      <c r="G317" s="946">
        <f>VLOOKUP(B317,$O$2:$Q$13,3,0)</f>
        <v>0</v>
      </c>
      <c r="H317" s="947">
        <f t="shared" si="91"/>
        <v>0</v>
      </c>
      <c r="I317" s="947">
        <f t="shared" si="92"/>
        <v>2310</v>
      </c>
      <c r="J317" s="1066"/>
      <c r="AA317" s="459">
        <f t="shared" si="74"/>
        <v>0</v>
      </c>
      <c r="AB317" s="459">
        <f t="shared" si="74"/>
        <v>0</v>
      </c>
    </row>
    <row r="318" spans="1:28" s="344" customFormat="1" ht="26.25" customHeight="1">
      <c r="A318" s="1089"/>
      <c r="B318" s="563" t="s">
        <v>1320</v>
      </c>
      <c r="C318" s="1090"/>
      <c r="D318" s="1089"/>
      <c r="E318" s="1091"/>
      <c r="F318" s="1091"/>
      <c r="G318" s="1091"/>
      <c r="H318" s="1092"/>
      <c r="I318" s="1093">
        <f>SUM(I310:I317)</f>
        <v>211271.21</v>
      </c>
      <c r="J318" s="1089"/>
      <c r="AA318" s="459"/>
      <c r="AB318" s="459"/>
    </row>
    <row r="319" spans="1:28" s="344" customFormat="1" ht="26.25" customHeight="1">
      <c r="A319" s="1084" t="s">
        <v>1138</v>
      </c>
      <c r="B319" s="1085" t="s">
        <v>159</v>
      </c>
      <c r="C319" s="1086"/>
      <c r="D319" s="1084"/>
      <c r="E319" s="1087"/>
      <c r="F319" s="1088"/>
      <c r="G319" s="1087"/>
      <c r="H319" s="1088"/>
      <c r="I319" s="1088"/>
      <c r="J319" s="1084"/>
      <c r="AA319" s="459">
        <f t="shared" si="74"/>
        <v>0</v>
      </c>
      <c r="AB319" s="459">
        <f t="shared" si="74"/>
        <v>0</v>
      </c>
    </row>
    <row r="320" spans="1:28" s="344" customFormat="1" ht="26.25" customHeight="1">
      <c r="A320" s="1066" t="s">
        <v>2081</v>
      </c>
      <c r="B320" s="995" t="s">
        <v>567</v>
      </c>
      <c r="C320" s="1058">
        <v>4</v>
      </c>
      <c r="D320" s="1066" t="s">
        <v>545</v>
      </c>
      <c r="E320" s="946">
        <v>2420</v>
      </c>
      <c r="F320" s="946">
        <f t="shared" ref="F320:F327" si="93">E320*C320</f>
        <v>9680</v>
      </c>
      <c r="G320" s="946">
        <v>306</v>
      </c>
      <c r="H320" s="947">
        <f t="shared" ref="H320:H327" si="94">G320*C320</f>
        <v>1224</v>
      </c>
      <c r="I320" s="947">
        <f t="shared" ref="I320:I327" si="95">H320+F320</f>
        <v>10904</v>
      </c>
      <c r="J320" s="1066"/>
      <c r="AA320" s="459">
        <f t="shared" si="74"/>
        <v>0</v>
      </c>
      <c r="AB320" s="459">
        <f t="shared" si="74"/>
        <v>0</v>
      </c>
    </row>
    <row r="321" spans="1:28" s="344" customFormat="1" ht="26.25" customHeight="1">
      <c r="A321" s="1066" t="s">
        <v>2072</v>
      </c>
      <c r="B321" s="995" t="s">
        <v>576</v>
      </c>
      <c r="C321" s="1058">
        <v>56</v>
      </c>
      <c r="D321" s="1066" t="s">
        <v>85</v>
      </c>
      <c r="E321" s="946">
        <v>26.03</v>
      </c>
      <c r="F321" s="946">
        <f t="shared" si="93"/>
        <v>1457.68</v>
      </c>
      <c r="G321" s="946">
        <v>4.0999999999999996</v>
      </c>
      <c r="H321" s="947">
        <f t="shared" si="94"/>
        <v>229.59999999999997</v>
      </c>
      <c r="I321" s="947">
        <f t="shared" si="95"/>
        <v>1687.28</v>
      </c>
      <c r="J321" s="1066"/>
      <c r="AA321" s="459">
        <f t="shared" si="74"/>
        <v>0</v>
      </c>
      <c r="AB321" s="459">
        <f t="shared" si="74"/>
        <v>0</v>
      </c>
    </row>
    <row r="322" spans="1:28" s="344" customFormat="1" ht="26.25" customHeight="1">
      <c r="A322" s="1066" t="s">
        <v>2082</v>
      </c>
      <c r="B322" s="995" t="s">
        <v>574</v>
      </c>
      <c r="C322" s="549">
        <v>518</v>
      </c>
      <c r="D322" s="1066" t="s">
        <v>85</v>
      </c>
      <c r="E322" s="946">
        <v>26.36</v>
      </c>
      <c r="F322" s="946">
        <f t="shared" si="93"/>
        <v>13654.48</v>
      </c>
      <c r="G322" s="946">
        <v>3.3</v>
      </c>
      <c r="H322" s="947">
        <f t="shared" si="94"/>
        <v>1709.3999999999999</v>
      </c>
      <c r="I322" s="947">
        <f t="shared" si="95"/>
        <v>15363.88</v>
      </c>
      <c r="J322" s="1066"/>
      <c r="AA322" s="459">
        <f t="shared" si="74"/>
        <v>0</v>
      </c>
      <c r="AB322" s="459">
        <f t="shared" si="74"/>
        <v>0</v>
      </c>
    </row>
    <row r="323" spans="1:28" s="344" customFormat="1" ht="25.9" customHeight="1">
      <c r="A323" s="1066" t="s">
        <v>2083</v>
      </c>
      <c r="B323" s="995" t="s">
        <v>570</v>
      </c>
      <c r="C323" s="549">
        <f>C324*0.025*35.31</f>
        <v>39.723750000000003</v>
      </c>
      <c r="D323" s="1066" t="s">
        <v>598</v>
      </c>
      <c r="E323" s="946">
        <f>VLOOKUP(B323,$O$2:$Q$13,2,0)</f>
        <v>400</v>
      </c>
      <c r="F323" s="946">
        <f t="shared" si="93"/>
        <v>15889.500000000002</v>
      </c>
      <c r="G323" s="946">
        <f>VLOOKUP(B323,$O$2:$Q$13,3,0)</f>
        <v>0</v>
      </c>
      <c r="H323" s="947">
        <f t="shared" si="94"/>
        <v>0</v>
      </c>
      <c r="I323" s="947">
        <f t="shared" si="95"/>
        <v>15889.500000000002</v>
      </c>
      <c r="J323" s="1066"/>
      <c r="AA323" s="459">
        <f t="shared" si="74"/>
        <v>0</v>
      </c>
      <c r="AB323" s="459">
        <f t="shared" si="74"/>
        <v>0</v>
      </c>
    </row>
    <row r="324" spans="1:28" s="344" customFormat="1" ht="25.9" customHeight="1">
      <c r="A324" s="1066" t="s">
        <v>2084</v>
      </c>
      <c r="B324" s="995" t="s">
        <v>1036</v>
      </c>
      <c r="C324" s="549">
        <v>45</v>
      </c>
      <c r="D324" s="1066" t="s">
        <v>278</v>
      </c>
      <c r="E324" s="946">
        <f>VLOOKUP(B324,$O$2:$Q$13,2,0)</f>
        <v>0</v>
      </c>
      <c r="F324" s="946">
        <f t="shared" si="93"/>
        <v>0</v>
      </c>
      <c r="G324" s="946">
        <f>VLOOKUP(B324,$O$2:$Q$13,3,0)</f>
        <v>133</v>
      </c>
      <c r="H324" s="947">
        <f t="shared" si="94"/>
        <v>5985</v>
      </c>
      <c r="I324" s="947">
        <f t="shared" si="95"/>
        <v>5985</v>
      </c>
      <c r="J324" s="1066"/>
      <c r="AA324" s="459">
        <f t="shared" si="74"/>
        <v>45</v>
      </c>
      <c r="AB324" s="459">
        <f t="shared" si="74"/>
        <v>0</v>
      </c>
    </row>
    <row r="325" spans="1:28" s="344" customFormat="1" ht="26.25" customHeight="1">
      <c r="A325" s="1066" t="s">
        <v>2085</v>
      </c>
      <c r="B325" s="995" t="s">
        <v>571</v>
      </c>
      <c r="C325" s="549">
        <v>5</v>
      </c>
      <c r="D325" s="1066" t="s">
        <v>598</v>
      </c>
      <c r="E325" s="946">
        <f>VLOOKUP(B325,$O$2:$Q$13,2,0)</f>
        <v>400</v>
      </c>
      <c r="F325" s="946">
        <f t="shared" si="93"/>
        <v>2000</v>
      </c>
      <c r="G325" s="946">
        <f>VLOOKUP(B325,$O$2:$Q$13,3,0)</f>
        <v>0</v>
      </c>
      <c r="H325" s="947">
        <f t="shared" si="94"/>
        <v>0</v>
      </c>
      <c r="I325" s="947">
        <f t="shared" si="95"/>
        <v>2000</v>
      </c>
      <c r="J325" s="1066"/>
      <c r="AA325" s="459">
        <f t="shared" si="74"/>
        <v>0</v>
      </c>
      <c r="AB325" s="459">
        <f t="shared" si="74"/>
        <v>0</v>
      </c>
    </row>
    <row r="326" spans="1:28" s="344" customFormat="1" ht="26.25" customHeight="1">
      <c r="A326" s="1066" t="s">
        <v>2086</v>
      </c>
      <c r="B326" s="995" t="s">
        <v>572</v>
      </c>
      <c r="C326" s="1058">
        <v>9</v>
      </c>
      <c r="D326" s="1066" t="s">
        <v>85</v>
      </c>
      <c r="E326" s="946">
        <f>VLOOKUP(B326,$O$2:$Q$13,2,0)</f>
        <v>56.78</v>
      </c>
      <c r="F326" s="946">
        <f t="shared" si="93"/>
        <v>511.02</v>
      </c>
      <c r="G326" s="946">
        <f>VLOOKUP(B326,$O$2:$Q$13,3,0)</f>
        <v>0</v>
      </c>
      <c r="H326" s="947">
        <f t="shared" si="94"/>
        <v>0</v>
      </c>
      <c r="I326" s="947">
        <f t="shared" si="95"/>
        <v>511.02</v>
      </c>
      <c r="J326" s="1066"/>
      <c r="AA326" s="459">
        <f t="shared" si="74"/>
        <v>0</v>
      </c>
      <c r="AB326" s="459">
        <f t="shared" si="74"/>
        <v>0</v>
      </c>
    </row>
    <row r="327" spans="1:28" s="344" customFormat="1" ht="26.25" customHeight="1">
      <c r="A327" s="1066" t="s">
        <v>2087</v>
      </c>
      <c r="B327" s="995" t="s">
        <v>573</v>
      </c>
      <c r="C327" s="1058">
        <v>17</v>
      </c>
      <c r="D327" s="1066" t="s">
        <v>85</v>
      </c>
      <c r="E327" s="946">
        <v>33</v>
      </c>
      <c r="F327" s="946">
        <f t="shared" si="93"/>
        <v>561</v>
      </c>
      <c r="G327" s="946">
        <f>VLOOKUP(B327,$O$2:$Q$13,3,0)</f>
        <v>0</v>
      </c>
      <c r="H327" s="947">
        <f t="shared" si="94"/>
        <v>0</v>
      </c>
      <c r="I327" s="947">
        <f t="shared" si="95"/>
        <v>561</v>
      </c>
      <c r="J327" s="1066"/>
      <c r="AA327" s="459">
        <f t="shared" si="74"/>
        <v>0</v>
      </c>
      <c r="AB327" s="459">
        <f t="shared" si="74"/>
        <v>0</v>
      </c>
    </row>
    <row r="328" spans="1:28" s="344" customFormat="1" ht="26.25" customHeight="1">
      <c r="A328" s="1089"/>
      <c r="B328" s="563" t="s">
        <v>1342</v>
      </c>
      <c r="C328" s="1090"/>
      <c r="D328" s="1089"/>
      <c r="E328" s="1091"/>
      <c r="F328" s="1091"/>
      <c r="G328" s="1091"/>
      <c r="H328" s="1092"/>
      <c r="I328" s="1093">
        <f>SUM(I320:I327)</f>
        <v>52901.68</v>
      </c>
      <c r="J328" s="1089"/>
      <c r="AA328" s="459"/>
      <c r="AB328" s="459"/>
    </row>
    <row r="329" spans="1:28" s="344" customFormat="1" ht="26.25" customHeight="1">
      <c r="A329" s="1084" t="s">
        <v>1139</v>
      </c>
      <c r="B329" s="1085" t="s">
        <v>160</v>
      </c>
      <c r="C329" s="1086"/>
      <c r="D329" s="1084"/>
      <c r="E329" s="1087"/>
      <c r="F329" s="1088"/>
      <c r="G329" s="1087"/>
      <c r="H329" s="1088"/>
      <c r="I329" s="1088"/>
      <c r="J329" s="1084"/>
      <c r="AA329" s="459">
        <f t="shared" si="74"/>
        <v>0</v>
      </c>
      <c r="AB329" s="459">
        <f t="shared" si="74"/>
        <v>0</v>
      </c>
    </row>
    <row r="330" spans="1:28" s="344" customFormat="1" ht="26.25" customHeight="1">
      <c r="A330" s="1066" t="s">
        <v>2088</v>
      </c>
      <c r="B330" s="995" t="s">
        <v>567</v>
      </c>
      <c r="C330" s="1058">
        <v>2</v>
      </c>
      <c r="D330" s="1066" t="s">
        <v>545</v>
      </c>
      <c r="E330" s="946">
        <v>2420</v>
      </c>
      <c r="F330" s="946">
        <f t="shared" ref="F330:F337" si="96">E330*C330</f>
        <v>4840</v>
      </c>
      <c r="G330" s="946">
        <v>306</v>
      </c>
      <c r="H330" s="947">
        <f t="shared" ref="H330:H337" si="97">G330*C330</f>
        <v>612</v>
      </c>
      <c r="I330" s="947">
        <f t="shared" ref="I330:I337" si="98">H330+F330</f>
        <v>5452</v>
      </c>
      <c r="J330" s="1066"/>
      <c r="AA330" s="459">
        <f t="shared" si="74"/>
        <v>0</v>
      </c>
      <c r="AB330" s="459">
        <f t="shared" si="74"/>
        <v>0</v>
      </c>
    </row>
    <row r="331" spans="1:28" s="344" customFormat="1" ht="26.25" customHeight="1">
      <c r="A331" s="1066" t="s">
        <v>2090</v>
      </c>
      <c r="B331" s="995" t="s">
        <v>576</v>
      </c>
      <c r="C331" s="1058">
        <v>39</v>
      </c>
      <c r="D331" s="1066" t="s">
        <v>85</v>
      </c>
      <c r="E331" s="946">
        <v>26.03</v>
      </c>
      <c r="F331" s="946">
        <f t="shared" si="96"/>
        <v>1015.1700000000001</v>
      </c>
      <c r="G331" s="946">
        <v>4.0999999999999996</v>
      </c>
      <c r="H331" s="947">
        <f t="shared" si="97"/>
        <v>159.89999999999998</v>
      </c>
      <c r="I331" s="947">
        <f t="shared" si="98"/>
        <v>1175.0700000000002</v>
      </c>
      <c r="J331" s="1066"/>
      <c r="AA331" s="459">
        <f t="shared" si="74"/>
        <v>0</v>
      </c>
      <c r="AB331" s="459">
        <f t="shared" si="74"/>
        <v>0</v>
      </c>
    </row>
    <row r="332" spans="1:28" s="344" customFormat="1" ht="26.25" customHeight="1">
      <c r="A332" s="1066" t="s">
        <v>2073</v>
      </c>
      <c r="B332" s="995" t="s">
        <v>574</v>
      </c>
      <c r="C332" s="549">
        <v>363</v>
      </c>
      <c r="D332" s="1066" t="s">
        <v>85</v>
      </c>
      <c r="E332" s="946">
        <v>26.36</v>
      </c>
      <c r="F332" s="946">
        <f t="shared" si="96"/>
        <v>9568.68</v>
      </c>
      <c r="G332" s="946">
        <v>3.3</v>
      </c>
      <c r="H332" s="947">
        <f t="shared" si="97"/>
        <v>1197.8999999999999</v>
      </c>
      <c r="I332" s="947">
        <f t="shared" si="98"/>
        <v>10766.58</v>
      </c>
      <c r="J332" s="1066"/>
      <c r="AA332" s="459">
        <f t="shared" si="74"/>
        <v>0</v>
      </c>
      <c r="AB332" s="459">
        <f t="shared" si="74"/>
        <v>0</v>
      </c>
    </row>
    <row r="333" spans="1:28" s="344" customFormat="1" ht="26.25" customHeight="1">
      <c r="A333" s="1066" t="s">
        <v>2091</v>
      </c>
      <c r="B333" s="995" t="s">
        <v>570</v>
      </c>
      <c r="C333" s="549">
        <f>C334*0.025*35.31</f>
        <v>25.599750000000004</v>
      </c>
      <c r="D333" s="1066" t="s">
        <v>598</v>
      </c>
      <c r="E333" s="946">
        <f>VLOOKUP(B333,$O$2:$Q$13,2,0)</f>
        <v>400</v>
      </c>
      <c r="F333" s="946">
        <f t="shared" si="96"/>
        <v>10239.900000000001</v>
      </c>
      <c r="G333" s="946">
        <f>VLOOKUP(B333,$O$2:$Q$13,3,0)</f>
        <v>0</v>
      </c>
      <c r="H333" s="947">
        <f t="shared" si="97"/>
        <v>0</v>
      </c>
      <c r="I333" s="947">
        <f t="shared" si="98"/>
        <v>10239.900000000001</v>
      </c>
      <c r="J333" s="1066"/>
      <c r="AA333" s="459">
        <f t="shared" si="74"/>
        <v>0</v>
      </c>
      <c r="AB333" s="459">
        <f t="shared" si="74"/>
        <v>0</v>
      </c>
    </row>
    <row r="334" spans="1:28" s="344" customFormat="1" ht="26.25" customHeight="1">
      <c r="A334" s="1066" t="s">
        <v>2092</v>
      </c>
      <c r="B334" s="995" t="s">
        <v>1036</v>
      </c>
      <c r="C334" s="549">
        <v>29</v>
      </c>
      <c r="D334" s="1066" t="s">
        <v>278</v>
      </c>
      <c r="E334" s="946">
        <f>VLOOKUP(B334,$O$2:$Q$13,2,0)</f>
        <v>0</v>
      </c>
      <c r="F334" s="946">
        <f t="shared" si="96"/>
        <v>0</v>
      </c>
      <c r="G334" s="946">
        <f>VLOOKUP(B334,$O$2:$Q$13,3,0)</f>
        <v>133</v>
      </c>
      <c r="H334" s="947">
        <f t="shared" si="97"/>
        <v>3857</v>
      </c>
      <c r="I334" s="947">
        <f t="shared" si="98"/>
        <v>3857</v>
      </c>
      <c r="J334" s="1066"/>
      <c r="AA334" s="459">
        <f t="shared" si="74"/>
        <v>29</v>
      </c>
      <c r="AB334" s="459">
        <f t="shared" si="74"/>
        <v>0</v>
      </c>
    </row>
    <row r="335" spans="1:28" s="344" customFormat="1" ht="26.25" customHeight="1">
      <c r="A335" s="1066" t="s">
        <v>2093</v>
      </c>
      <c r="B335" s="995" t="s">
        <v>571</v>
      </c>
      <c r="C335" s="549">
        <v>3</v>
      </c>
      <c r="D335" s="1066" t="s">
        <v>598</v>
      </c>
      <c r="E335" s="946">
        <f>VLOOKUP(B335,$O$2:$Q$13,2,0)</f>
        <v>400</v>
      </c>
      <c r="F335" s="946">
        <f t="shared" si="96"/>
        <v>1200</v>
      </c>
      <c r="G335" s="946">
        <f>VLOOKUP(B335,$O$2:$Q$13,3,0)</f>
        <v>0</v>
      </c>
      <c r="H335" s="947">
        <f t="shared" si="97"/>
        <v>0</v>
      </c>
      <c r="I335" s="947">
        <f t="shared" si="98"/>
        <v>1200</v>
      </c>
      <c r="J335" s="1066"/>
      <c r="AA335" s="459">
        <f t="shared" ref="AA335:AB414" si="99">IF($B335=AA$1,$C335,0)</f>
        <v>0</v>
      </c>
      <c r="AB335" s="459">
        <f t="shared" si="99"/>
        <v>0</v>
      </c>
    </row>
    <row r="336" spans="1:28" s="344" customFormat="1" ht="26.25" customHeight="1">
      <c r="A336" s="1066" t="s">
        <v>2094</v>
      </c>
      <c r="B336" s="995" t="s">
        <v>572</v>
      </c>
      <c r="C336" s="1058">
        <v>6</v>
      </c>
      <c r="D336" s="1066" t="s">
        <v>85</v>
      </c>
      <c r="E336" s="946">
        <f>VLOOKUP(B336,$O$2:$Q$13,2,0)</f>
        <v>56.78</v>
      </c>
      <c r="F336" s="946">
        <f t="shared" si="96"/>
        <v>340.68</v>
      </c>
      <c r="G336" s="946">
        <f>VLOOKUP(B336,$O$2:$Q$13,3,0)</f>
        <v>0</v>
      </c>
      <c r="H336" s="947">
        <f t="shared" si="97"/>
        <v>0</v>
      </c>
      <c r="I336" s="947">
        <f t="shared" si="98"/>
        <v>340.68</v>
      </c>
      <c r="J336" s="1066"/>
      <c r="AA336" s="459">
        <f t="shared" si="99"/>
        <v>0</v>
      </c>
      <c r="AB336" s="459">
        <f t="shared" si="99"/>
        <v>0</v>
      </c>
    </row>
    <row r="337" spans="1:28" s="344" customFormat="1" ht="26.25" customHeight="1">
      <c r="A337" s="1066" t="s">
        <v>2095</v>
      </c>
      <c r="B337" s="995" t="s">
        <v>573</v>
      </c>
      <c r="C337" s="1058">
        <v>12</v>
      </c>
      <c r="D337" s="1066" t="s">
        <v>85</v>
      </c>
      <c r="E337" s="946">
        <v>33</v>
      </c>
      <c r="F337" s="946">
        <f t="shared" si="96"/>
        <v>396</v>
      </c>
      <c r="G337" s="946">
        <f>VLOOKUP(B337,$O$2:$Q$13,3,0)</f>
        <v>0</v>
      </c>
      <c r="H337" s="947">
        <f t="shared" si="97"/>
        <v>0</v>
      </c>
      <c r="I337" s="947">
        <f t="shared" si="98"/>
        <v>396</v>
      </c>
      <c r="J337" s="1066"/>
      <c r="AA337" s="459">
        <f t="shared" si="99"/>
        <v>0</v>
      </c>
      <c r="AB337" s="459">
        <f t="shared" si="99"/>
        <v>0</v>
      </c>
    </row>
    <row r="338" spans="1:28" s="344" customFormat="1" ht="26.25" customHeight="1">
      <c r="A338" s="1089"/>
      <c r="B338" s="563" t="s">
        <v>1322</v>
      </c>
      <c r="C338" s="1090"/>
      <c r="D338" s="1089"/>
      <c r="E338" s="1091"/>
      <c r="F338" s="1091"/>
      <c r="G338" s="1091"/>
      <c r="H338" s="1092"/>
      <c r="I338" s="1093">
        <f>SUM(I330:I337)</f>
        <v>33427.230000000003</v>
      </c>
      <c r="J338" s="1089"/>
      <c r="AA338" s="459"/>
      <c r="AB338" s="459"/>
    </row>
    <row r="339" spans="1:28" s="344" customFormat="1" ht="26.25" customHeight="1">
      <c r="A339" s="1084" t="s">
        <v>1140</v>
      </c>
      <c r="B339" s="1085" t="s">
        <v>161</v>
      </c>
      <c r="C339" s="1086"/>
      <c r="D339" s="1084"/>
      <c r="E339" s="1087"/>
      <c r="F339" s="1088"/>
      <c r="G339" s="1087"/>
      <c r="H339" s="1088"/>
      <c r="I339" s="1088"/>
      <c r="J339" s="1084"/>
      <c r="AA339" s="459">
        <f t="shared" si="99"/>
        <v>0</v>
      </c>
      <c r="AB339" s="459">
        <f t="shared" si="99"/>
        <v>0</v>
      </c>
    </row>
    <row r="340" spans="1:28" s="344" customFormat="1" ht="26.25" customHeight="1">
      <c r="A340" s="1066" t="s">
        <v>2089</v>
      </c>
      <c r="B340" s="995" t="s">
        <v>567</v>
      </c>
      <c r="C340" s="1058">
        <v>1</v>
      </c>
      <c r="D340" s="1066" t="s">
        <v>545</v>
      </c>
      <c r="E340" s="946">
        <v>2420</v>
      </c>
      <c r="F340" s="946">
        <f t="shared" ref="F340:F347" si="100">E340*C340</f>
        <v>2420</v>
      </c>
      <c r="G340" s="946">
        <v>306</v>
      </c>
      <c r="H340" s="947">
        <f t="shared" ref="H340:H347" si="101">G340*C340</f>
        <v>306</v>
      </c>
      <c r="I340" s="947">
        <f t="shared" ref="I340:I347" si="102">H340+F340</f>
        <v>2726</v>
      </c>
      <c r="J340" s="1066"/>
      <c r="AA340" s="459">
        <f t="shared" si="99"/>
        <v>0</v>
      </c>
      <c r="AB340" s="459">
        <f t="shared" si="99"/>
        <v>0</v>
      </c>
    </row>
    <row r="341" spans="1:28" s="344" customFormat="1" ht="26.25" customHeight="1">
      <c r="A341" s="1066" t="s">
        <v>2096</v>
      </c>
      <c r="B341" s="995" t="s">
        <v>576</v>
      </c>
      <c r="C341" s="1058">
        <v>13</v>
      </c>
      <c r="D341" s="1066" t="s">
        <v>85</v>
      </c>
      <c r="E341" s="946">
        <v>26.03</v>
      </c>
      <c r="F341" s="946">
        <f t="shared" si="100"/>
        <v>338.39</v>
      </c>
      <c r="G341" s="946">
        <v>4.0999999999999996</v>
      </c>
      <c r="H341" s="947">
        <f t="shared" si="101"/>
        <v>53.3</v>
      </c>
      <c r="I341" s="947">
        <f t="shared" si="102"/>
        <v>391.69</v>
      </c>
      <c r="J341" s="1066"/>
      <c r="AA341" s="459">
        <f t="shared" si="99"/>
        <v>0</v>
      </c>
      <c r="AB341" s="459">
        <f t="shared" si="99"/>
        <v>0</v>
      </c>
    </row>
    <row r="342" spans="1:28" s="344" customFormat="1" ht="26.25" customHeight="1">
      <c r="A342" s="1066" t="s">
        <v>2097</v>
      </c>
      <c r="B342" s="995" t="s">
        <v>574</v>
      </c>
      <c r="C342" s="549">
        <v>130</v>
      </c>
      <c r="D342" s="1066" t="s">
        <v>85</v>
      </c>
      <c r="E342" s="946">
        <v>26.36</v>
      </c>
      <c r="F342" s="946">
        <f t="shared" si="100"/>
        <v>3426.7999999999997</v>
      </c>
      <c r="G342" s="946">
        <v>3.3</v>
      </c>
      <c r="H342" s="947">
        <f t="shared" si="101"/>
        <v>429</v>
      </c>
      <c r="I342" s="947">
        <f t="shared" si="102"/>
        <v>3855.7999999999997</v>
      </c>
      <c r="J342" s="1066"/>
      <c r="AA342" s="459">
        <f t="shared" si="99"/>
        <v>0</v>
      </c>
      <c r="AB342" s="459">
        <f t="shared" si="99"/>
        <v>0</v>
      </c>
    </row>
    <row r="343" spans="1:28" s="344" customFormat="1" ht="26.25" customHeight="1">
      <c r="A343" s="1066" t="s">
        <v>2098</v>
      </c>
      <c r="B343" s="995" t="s">
        <v>570</v>
      </c>
      <c r="C343" s="549">
        <f>C344*0.025*35.31</f>
        <v>9.710250000000002</v>
      </c>
      <c r="D343" s="1066" t="s">
        <v>598</v>
      </c>
      <c r="E343" s="946">
        <f>VLOOKUP(B343,$O$2:$Q$13,2,0)</f>
        <v>400</v>
      </c>
      <c r="F343" s="946">
        <f t="shared" si="100"/>
        <v>3884.1000000000008</v>
      </c>
      <c r="G343" s="946">
        <f>VLOOKUP(B343,$O$2:$Q$13,3,0)</f>
        <v>0</v>
      </c>
      <c r="H343" s="947">
        <f t="shared" si="101"/>
        <v>0</v>
      </c>
      <c r="I343" s="947">
        <f t="shared" si="102"/>
        <v>3884.1000000000008</v>
      </c>
      <c r="J343" s="1066"/>
      <c r="AA343" s="459">
        <f t="shared" si="99"/>
        <v>0</v>
      </c>
      <c r="AB343" s="459">
        <f t="shared" si="99"/>
        <v>0</v>
      </c>
    </row>
    <row r="344" spans="1:28" s="344" customFormat="1" ht="26.25" customHeight="1">
      <c r="A344" s="1066" t="s">
        <v>2099</v>
      </c>
      <c r="B344" s="995" t="s">
        <v>1036</v>
      </c>
      <c r="C344" s="549">
        <v>11</v>
      </c>
      <c r="D344" s="1066" t="s">
        <v>278</v>
      </c>
      <c r="E344" s="946">
        <f>VLOOKUP(B344,$O$2:$Q$13,2,0)</f>
        <v>0</v>
      </c>
      <c r="F344" s="946">
        <f t="shared" si="100"/>
        <v>0</v>
      </c>
      <c r="G344" s="946">
        <f>VLOOKUP(B344,$O$2:$Q$13,3,0)</f>
        <v>133</v>
      </c>
      <c r="H344" s="947">
        <f t="shared" si="101"/>
        <v>1463</v>
      </c>
      <c r="I344" s="947">
        <f t="shared" si="102"/>
        <v>1463</v>
      </c>
      <c r="J344" s="1066"/>
      <c r="AA344" s="459">
        <f t="shared" si="99"/>
        <v>11</v>
      </c>
      <c r="AB344" s="459">
        <f t="shared" si="99"/>
        <v>0</v>
      </c>
    </row>
    <row r="345" spans="1:28" s="344" customFormat="1" ht="26.25" customHeight="1">
      <c r="A345" s="1066" t="s">
        <v>2100</v>
      </c>
      <c r="B345" s="995" t="s">
        <v>571</v>
      </c>
      <c r="C345" s="549">
        <v>1</v>
      </c>
      <c r="D345" s="1066" t="s">
        <v>598</v>
      </c>
      <c r="E345" s="946">
        <f>VLOOKUP(B345,$O$2:$Q$13,2,0)</f>
        <v>400</v>
      </c>
      <c r="F345" s="946">
        <f t="shared" si="100"/>
        <v>400</v>
      </c>
      <c r="G345" s="946">
        <f>VLOOKUP(B345,$O$2:$Q$13,3,0)</f>
        <v>0</v>
      </c>
      <c r="H345" s="947">
        <f t="shared" si="101"/>
        <v>0</v>
      </c>
      <c r="I345" s="947">
        <f t="shared" si="102"/>
        <v>400</v>
      </c>
      <c r="J345" s="1066"/>
      <c r="AA345" s="459">
        <f t="shared" si="99"/>
        <v>0</v>
      </c>
      <c r="AB345" s="459">
        <f t="shared" si="99"/>
        <v>0</v>
      </c>
    </row>
    <row r="346" spans="1:28" s="344" customFormat="1" ht="26.25" customHeight="1">
      <c r="A346" s="1066" t="s">
        <v>2101</v>
      </c>
      <c r="B346" s="995" t="s">
        <v>572</v>
      </c>
      <c r="C346" s="1058">
        <v>2</v>
      </c>
      <c r="D346" s="1066" t="s">
        <v>85</v>
      </c>
      <c r="E346" s="946">
        <f>VLOOKUP(B346,$O$2:$Q$13,2,0)</f>
        <v>56.78</v>
      </c>
      <c r="F346" s="946">
        <f t="shared" si="100"/>
        <v>113.56</v>
      </c>
      <c r="G346" s="946">
        <f>VLOOKUP(B346,$O$2:$Q$13,3,0)</f>
        <v>0</v>
      </c>
      <c r="H346" s="947">
        <f t="shared" si="101"/>
        <v>0</v>
      </c>
      <c r="I346" s="947">
        <f t="shared" si="102"/>
        <v>113.56</v>
      </c>
      <c r="J346" s="1066"/>
      <c r="AA346" s="459">
        <f t="shared" si="99"/>
        <v>0</v>
      </c>
      <c r="AB346" s="459">
        <f t="shared" si="99"/>
        <v>0</v>
      </c>
    </row>
    <row r="347" spans="1:28" s="344" customFormat="1" ht="26.25" customHeight="1">
      <c r="A347" s="1066" t="s">
        <v>2102</v>
      </c>
      <c r="B347" s="995" t="s">
        <v>573</v>
      </c>
      <c r="C347" s="1058">
        <v>4</v>
      </c>
      <c r="D347" s="1066" t="s">
        <v>85</v>
      </c>
      <c r="E347" s="946">
        <v>33</v>
      </c>
      <c r="F347" s="946">
        <f t="shared" si="100"/>
        <v>132</v>
      </c>
      <c r="G347" s="946">
        <f>VLOOKUP(B347,$O$2:$Q$13,3,0)</f>
        <v>0</v>
      </c>
      <c r="H347" s="947">
        <f t="shared" si="101"/>
        <v>0</v>
      </c>
      <c r="I347" s="947">
        <f t="shared" si="102"/>
        <v>132</v>
      </c>
      <c r="J347" s="1066"/>
      <c r="AA347" s="459">
        <f t="shared" si="99"/>
        <v>0</v>
      </c>
      <c r="AB347" s="459">
        <f t="shared" si="99"/>
        <v>0</v>
      </c>
    </row>
    <row r="348" spans="1:28" s="344" customFormat="1" ht="26.25" customHeight="1">
      <c r="A348" s="1089"/>
      <c r="B348" s="563" t="s">
        <v>1323</v>
      </c>
      <c r="C348" s="1090"/>
      <c r="D348" s="1089"/>
      <c r="E348" s="1091"/>
      <c r="F348" s="1091"/>
      <c r="G348" s="1091"/>
      <c r="H348" s="1092"/>
      <c r="I348" s="1093">
        <f>SUM(I340:I347)</f>
        <v>12966.15</v>
      </c>
      <c r="J348" s="1089"/>
      <c r="AA348" s="459"/>
      <c r="AB348" s="459"/>
    </row>
    <row r="349" spans="1:28" s="344" customFormat="1" ht="26.25" customHeight="1">
      <c r="A349" s="1084" t="s">
        <v>1141</v>
      </c>
      <c r="B349" s="1085" t="s">
        <v>1020</v>
      </c>
      <c r="C349" s="1086"/>
      <c r="D349" s="1084"/>
      <c r="E349" s="1087"/>
      <c r="F349" s="1088"/>
      <c r="G349" s="1087"/>
      <c r="H349" s="1088"/>
      <c r="I349" s="1088"/>
      <c r="J349" s="1084"/>
      <c r="AA349" s="459">
        <f t="shared" si="99"/>
        <v>0</v>
      </c>
      <c r="AB349" s="459">
        <f t="shared" si="99"/>
        <v>0</v>
      </c>
    </row>
    <row r="350" spans="1:28" s="344" customFormat="1" ht="26.25" customHeight="1">
      <c r="A350" s="1066" t="s">
        <v>2103</v>
      </c>
      <c r="B350" s="995" t="s">
        <v>567</v>
      </c>
      <c r="C350" s="1058">
        <v>1</v>
      </c>
      <c r="D350" s="1066" t="s">
        <v>545</v>
      </c>
      <c r="E350" s="946">
        <v>2420</v>
      </c>
      <c r="F350" s="946">
        <f t="shared" ref="F350:F357" si="103">E350*C350</f>
        <v>2420</v>
      </c>
      <c r="G350" s="946">
        <v>306</v>
      </c>
      <c r="H350" s="947">
        <f t="shared" ref="H350:H357" si="104">G350*C350</f>
        <v>306</v>
      </c>
      <c r="I350" s="947">
        <f t="shared" ref="I350:I357" si="105">H350+F350</f>
        <v>2726</v>
      </c>
      <c r="J350" s="1066"/>
      <c r="AA350" s="459">
        <f t="shared" si="99"/>
        <v>0</v>
      </c>
      <c r="AB350" s="459">
        <f t="shared" si="99"/>
        <v>0</v>
      </c>
    </row>
    <row r="351" spans="1:28" s="344" customFormat="1" ht="26.25" customHeight="1">
      <c r="A351" s="1066" t="s">
        <v>2104</v>
      </c>
      <c r="B351" s="995" t="s">
        <v>576</v>
      </c>
      <c r="C351" s="1058">
        <v>9</v>
      </c>
      <c r="D351" s="1066" t="s">
        <v>85</v>
      </c>
      <c r="E351" s="946">
        <v>26.03</v>
      </c>
      <c r="F351" s="946">
        <f t="shared" si="103"/>
        <v>234.27</v>
      </c>
      <c r="G351" s="946">
        <v>4.0999999999999996</v>
      </c>
      <c r="H351" s="947">
        <f t="shared" si="104"/>
        <v>36.9</v>
      </c>
      <c r="I351" s="947">
        <f t="shared" si="105"/>
        <v>271.17</v>
      </c>
      <c r="J351" s="1066"/>
      <c r="AA351" s="459">
        <f t="shared" si="99"/>
        <v>0</v>
      </c>
      <c r="AB351" s="459">
        <f t="shared" si="99"/>
        <v>0</v>
      </c>
    </row>
    <row r="352" spans="1:28" s="344" customFormat="1" ht="26.25" customHeight="1">
      <c r="A352" s="1066" t="s">
        <v>2105</v>
      </c>
      <c r="B352" s="995" t="s">
        <v>574</v>
      </c>
      <c r="C352" s="549">
        <v>52</v>
      </c>
      <c r="D352" s="1066" t="s">
        <v>85</v>
      </c>
      <c r="E352" s="946">
        <v>26.36</v>
      </c>
      <c r="F352" s="946">
        <f t="shared" si="103"/>
        <v>1370.72</v>
      </c>
      <c r="G352" s="946">
        <v>3.3</v>
      </c>
      <c r="H352" s="947">
        <f t="shared" si="104"/>
        <v>171.6</v>
      </c>
      <c r="I352" s="947">
        <f t="shared" si="105"/>
        <v>1542.32</v>
      </c>
      <c r="J352" s="1066"/>
      <c r="AA352" s="459">
        <f t="shared" si="99"/>
        <v>0</v>
      </c>
      <c r="AB352" s="459">
        <f t="shared" si="99"/>
        <v>0</v>
      </c>
    </row>
    <row r="353" spans="1:28" s="344" customFormat="1" ht="26.25" customHeight="1">
      <c r="A353" s="1066" t="s">
        <v>2106</v>
      </c>
      <c r="B353" s="995" t="s">
        <v>570</v>
      </c>
      <c r="C353" s="549">
        <f>C354*0.025*35.31</f>
        <v>7.0620000000000012</v>
      </c>
      <c r="D353" s="1066" t="s">
        <v>598</v>
      </c>
      <c r="E353" s="946">
        <f>VLOOKUP(B353,$O$2:$Q$13,2,0)</f>
        <v>400</v>
      </c>
      <c r="F353" s="946">
        <f t="shared" si="103"/>
        <v>2824.8000000000006</v>
      </c>
      <c r="G353" s="946">
        <f>VLOOKUP(B353,$O$2:$Q$13,3,0)</f>
        <v>0</v>
      </c>
      <c r="H353" s="947">
        <f t="shared" si="104"/>
        <v>0</v>
      </c>
      <c r="I353" s="947">
        <f t="shared" si="105"/>
        <v>2824.8000000000006</v>
      </c>
      <c r="J353" s="1066"/>
      <c r="AA353" s="459">
        <f t="shared" si="99"/>
        <v>0</v>
      </c>
      <c r="AB353" s="459">
        <f t="shared" si="99"/>
        <v>0</v>
      </c>
    </row>
    <row r="354" spans="1:28" s="344" customFormat="1" ht="26.25" customHeight="1">
      <c r="A354" s="1066" t="s">
        <v>2107</v>
      </c>
      <c r="B354" s="995" t="s">
        <v>1036</v>
      </c>
      <c r="C354" s="549">
        <v>8</v>
      </c>
      <c r="D354" s="1066" t="s">
        <v>278</v>
      </c>
      <c r="E354" s="946">
        <f>VLOOKUP(B354,$O$2:$Q$13,2,0)</f>
        <v>0</v>
      </c>
      <c r="F354" s="946">
        <f t="shared" si="103"/>
        <v>0</v>
      </c>
      <c r="G354" s="946">
        <f>VLOOKUP(B354,$O$2:$Q$13,3,0)</f>
        <v>133</v>
      </c>
      <c r="H354" s="947">
        <f t="shared" si="104"/>
        <v>1064</v>
      </c>
      <c r="I354" s="947">
        <f t="shared" si="105"/>
        <v>1064</v>
      </c>
      <c r="J354" s="1066"/>
      <c r="AA354" s="459">
        <f t="shared" si="99"/>
        <v>8</v>
      </c>
      <c r="AB354" s="459">
        <f t="shared" si="99"/>
        <v>0</v>
      </c>
    </row>
    <row r="355" spans="1:28" s="344" customFormat="1" ht="26.25" customHeight="1">
      <c r="A355" s="1066" t="s">
        <v>2108</v>
      </c>
      <c r="B355" s="995" t="s">
        <v>571</v>
      </c>
      <c r="C355" s="549">
        <v>1</v>
      </c>
      <c r="D355" s="1066" t="s">
        <v>598</v>
      </c>
      <c r="E355" s="946">
        <f>VLOOKUP(B355,$O$2:$Q$13,2,0)</f>
        <v>400</v>
      </c>
      <c r="F355" s="946">
        <f t="shared" si="103"/>
        <v>400</v>
      </c>
      <c r="G355" s="946">
        <f>VLOOKUP(B355,$O$2:$Q$13,3,0)</f>
        <v>0</v>
      </c>
      <c r="H355" s="947">
        <f t="shared" si="104"/>
        <v>0</v>
      </c>
      <c r="I355" s="947">
        <f t="shared" si="105"/>
        <v>400</v>
      </c>
      <c r="J355" s="1066"/>
      <c r="AA355" s="459">
        <f t="shared" si="99"/>
        <v>0</v>
      </c>
      <c r="AB355" s="459">
        <f t="shared" si="99"/>
        <v>0</v>
      </c>
    </row>
    <row r="356" spans="1:28" s="344" customFormat="1" ht="26.25" customHeight="1">
      <c r="A356" s="1066" t="s">
        <v>2109</v>
      </c>
      <c r="B356" s="995" t="s">
        <v>572</v>
      </c>
      <c r="C356" s="1058">
        <v>1</v>
      </c>
      <c r="D356" s="1066" t="s">
        <v>85</v>
      </c>
      <c r="E356" s="946">
        <f>VLOOKUP(B356,$O$2:$Q$13,2,0)</f>
        <v>56.78</v>
      </c>
      <c r="F356" s="946">
        <f t="shared" si="103"/>
        <v>56.78</v>
      </c>
      <c r="G356" s="946">
        <f>VLOOKUP(B356,$O$2:$Q$13,3,0)</f>
        <v>0</v>
      </c>
      <c r="H356" s="947">
        <f t="shared" si="104"/>
        <v>0</v>
      </c>
      <c r="I356" s="947">
        <f t="shared" si="105"/>
        <v>56.78</v>
      </c>
      <c r="J356" s="1066"/>
      <c r="AA356" s="459">
        <f t="shared" si="99"/>
        <v>0</v>
      </c>
      <c r="AB356" s="459">
        <f t="shared" si="99"/>
        <v>0</v>
      </c>
    </row>
    <row r="357" spans="1:28" s="344" customFormat="1" ht="26.25" customHeight="1">
      <c r="A357" s="1066" t="s">
        <v>2110</v>
      </c>
      <c r="B357" s="995" t="s">
        <v>573</v>
      </c>
      <c r="C357" s="1058">
        <v>2</v>
      </c>
      <c r="D357" s="1066" t="s">
        <v>85</v>
      </c>
      <c r="E357" s="946">
        <v>33</v>
      </c>
      <c r="F357" s="946">
        <f t="shared" si="103"/>
        <v>66</v>
      </c>
      <c r="G357" s="946">
        <f>VLOOKUP(B357,$O$2:$Q$13,3,0)</f>
        <v>0</v>
      </c>
      <c r="H357" s="947">
        <f t="shared" si="104"/>
        <v>0</v>
      </c>
      <c r="I357" s="947">
        <f t="shared" si="105"/>
        <v>66</v>
      </c>
      <c r="J357" s="1066"/>
      <c r="AA357" s="459">
        <f t="shared" si="99"/>
        <v>0</v>
      </c>
      <c r="AB357" s="459">
        <f t="shared" si="99"/>
        <v>0</v>
      </c>
    </row>
    <row r="358" spans="1:28" s="344" customFormat="1" ht="26.25" customHeight="1">
      <c r="A358" s="1089"/>
      <c r="B358" s="563" t="s">
        <v>1343</v>
      </c>
      <c r="C358" s="1090"/>
      <c r="D358" s="1089"/>
      <c r="E358" s="1091"/>
      <c r="F358" s="1091"/>
      <c r="G358" s="1091"/>
      <c r="H358" s="1092"/>
      <c r="I358" s="1098">
        <f>SUM(I350:I357)</f>
        <v>8951.0700000000015</v>
      </c>
      <c r="J358" s="1089"/>
      <c r="AA358" s="459"/>
      <c r="AB358" s="459"/>
    </row>
    <row r="359" spans="1:28" s="344" customFormat="1" ht="26.25" customHeight="1">
      <c r="A359" s="1072"/>
      <c r="B359" s="551" t="s">
        <v>1276</v>
      </c>
      <c r="C359" s="1071"/>
      <c r="D359" s="1072"/>
      <c r="E359" s="1094"/>
      <c r="F359" s="1094"/>
      <c r="G359" s="1094"/>
      <c r="H359" s="1081"/>
      <c r="I359" s="1095">
        <f>I318+I328+I338+I348+I358</f>
        <v>319517.34000000003</v>
      </c>
      <c r="J359" s="1072"/>
      <c r="AA359" s="459"/>
      <c r="AB359" s="459"/>
    </row>
    <row r="360" spans="1:28" s="344" customFormat="1" ht="26.25" customHeight="1">
      <c r="A360" s="1051">
        <v>2.8</v>
      </c>
      <c r="B360" s="1096" t="s">
        <v>587</v>
      </c>
      <c r="C360" s="1053"/>
      <c r="D360" s="1054"/>
      <c r="E360" s="1055"/>
      <c r="F360" s="1056"/>
      <c r="G360" s="994"/>
      <c r="H360" s="1056"/>
      <c r="I360" s="1056"/>
      <c r="J360" s="1057"/>
      <c r="AA360" s="459">
        <f t="shared" si="99"/>
        <v>0</v>
      </c>
      <c r="AB360" s="459">
        <f t="shared" si="99"/>
        <v>0</v>
      </c>
    </row>
    <row r="361" spans="1:28" s="344" customFormat="1" ht="26.25" customHeight="1">
      <c r="A361" s="1084" t="s">
        <v>1142</v>
      </c>
      <c r="B361" s="1085" t="s">
        <v>557</v>
      </c>
      <c r="C361" s="1086"/>
      <c r="D361" s="1084"/>
      <c r="E361" s="1087"/>
      <c r="F361" s="1088"/>
      <c r="G361" s="1087"/>
      <c r="H361" s="1088"/>
      <c r="I361" s="1088"/>
      <c r="J361" s="1084"/>
      <c r="AA361" s="459">
        <f t="shared" si="99"/>
        <v>0</v>
      </c>
      <c r="AB361" s="459">
        <f t="shared" si="99"/>
        <v>0</v>
      </c>
    </row>
    <row r="362" spans="1:28" s="344" customFormat="1" ht="26.25" customHeight="1">
      <c r="A362" s="1066" t="s">
        <v>2111</v>
      </c>
      <c r="B362" s="995" t="s">
        <v>567</v>
      </c>
      <c r="C362" s="1058">
        <v>4</v>
      </c>
      <c r="D362" s="1066" t="s">
        <v>545</v>
      </c>
      <c r="E362" s="946">
        <v>2420</v>
      </c>
      <c r="F362" s="946">
        <f t="shared" ref="F362:F369" si="106">E362*C362</f>
        <v>9680</v>
      </c>
      <c r="G362" s="946">
        <v>306</v>
      </c>
      <c r="H362" s="947">
        <f t="shared" ref="H362:H369" si="107">G362*C362</f>
        <v>1224</v>
      </c>
      <c r="I362" s="947">
        <f t="shared" ref="I362:I369" si="108">H362+F362</f>
        <v>10904</v>
      </c>
      <c r="J362" s="1066"/>
      <c r="AA362" s="459">
        <f t="shared" si="99"/>
        <v>0</v>
      </c>
      <c r="AB362" s="459">
        <f t="shared" si="99"/>
        <v>0</v>
      </c>
    </row>
    <row r="363" spans="1:28" s="344" customFormat="1" ht="26.25" customHeight="1">
      <c r="A363" s="1066" t="s">
        <v>2112</v>
      </c>
      <c r="B363" s="995" t="s">
        <v>576</v>
      </c>
      <c r="C363" s="1058">
        <v>59</v>
      </c>
      <c r="D363" s="1066" t="s">
        <v>85</v>
      </c>
      <c r="E363" s="946">
        <v>26.03</v>
      </c>
      <c r="F363" s="946">
        <f t="shared" si="106"/>
        <v>1535.77</v>
      </c>
      <c r="G363" s="946">
        <v>4.0999999999999996</v>
      </c>
      <c r="H363" s="947">
        <f t="shared" si="107"/>
        <v>241.89999999999998</v>
      </c>
      <c r="I363" s="947">
        <f t="shared" si="108"/>
        <v>1777.67</v>
      </c>
      <c r="J363" s="1066"/>
      <c r="AA363" s="459">
        <f t="shared" si="99"/>
        <v>0</v>
      </c>
      <c r="AB363" s="459">
        <f t="shared" si="99"/>
        <v>0</v>
      </c>
    </row>
    <row r="364" spans="1:28" s="344" customFormat="1" ht="26.25" customHeight="1">
      <c r="A364" s="1066" t="s">
        <v>2113</v>
      </c>
      <c r="B364" s="995" t="s">
        <v>574</v>
      </c>
      <c r="C364" s="549">
        <v>252</v>
      </c>
      <c r="D364" s="1066" t="s">
        <v>85</v>
      </c>
      <c r="E364" s="946">
        <v>26.36</v>
      </c>
      <c r="F364" s="946">
        <f t="shared" si="106"/>
        <v>6642.72</v>
      </c>
      <c r="G364" s="946">
        <v>3.3</v>
      </c>
      <c r="H364" s="947">
        <f t="shared" si="107"/>
        <v>831.59999999999991</v>
      </c>
      <c r="I364" s="947">
        <f t="shared" si="108"/>
        <v>7474.32</v>
      </c>
      <c r="J364" s="1066"/>
      <c r="AA364" s="459">
        <f t="shared" si="99"/>
        <v>0</v>
      </c>
      <c r="AB364" s="459">
        <f t="shared" si="99"/>
        <v>0</v>
      </c>
    </row>
    <row r="365" spans="1:28" s="344" customFormat="1" ht="26.25" customHeight="1">
      <c r="A365" s="1066" t="s">
        <v>2114</v>
      </c>
      <c r="B365" s="995" t="s">
        <v>570</v>
      </c>
      <c r="C365" s="549">
        <f>C366*0.025*35.31</f>
        <v>37.95825</v>
      </c>
      <c r="D365" s="1066" t="s">
        <v>598</v>
      </c>
      <c r="E365" s="946">
        <f>VLOOKUP(B365,$O$2:$Q$13,2,0)</f>
        <v>400</v>
      </c>
      <c r="F365" s="946">
        <f t="shared" si="106"/>
        <v>15183.3</v>
      </c>
      <c r="G365" s="946">
        <f>VLOOKUP(B365,$O$2:$Q$13,3,0)</f>
        <v>0</v>
      </c>
      <c r="H365" s="947">
        <f t="shared" si="107"/>
        <v>0</v>
      </c>
      <c r="I365" s="947">
        <f t="shared" si="108"/>
        <v>15183.3</v>
      </c>
      <c r="J365" s="1066"/>
      <c r="AA365" s="459">
        <f t="shared" si="99"/>
        <v>0</v>
      </c>
      <c r="AB365" s="459">
        <f t="shared" si="99"/>
        <v>0</v>
      </c>
    </row>
    <row r="366" spans="1:28" s="344" customFormat="1" ht="26.25" customHeight="1">
      <c r="A366" s="1066" t="s">
        <v>2115</v>
      </c>
      <c r="B366" s="995" t="s">
        <v>1036</v>
      </c>
      <c r="C366" s="549">
        <v>43</v>
      </c>
      <c r="D366" s="1066" t="s">
        <v>278</v>
      </c>
      <c r="E366" s="946">
        <f>VLOOKUP(B366,$O$2:$Q$13,2,0)</f>
        <v>0</v>
      </c>
      <c r="F366" s="946">
        <f t="shared" si="106"/>
        <v>0</v>
      </c>
      <c r="G366" s="946">
        <f>VLOOKUP(B366,$O$2:$Q$13,3,0)</f>
        <v>133</v>
      </c>
      <c r="H366" s="947">
        <f t="shared" si="107"/>
        <v>5719</v>
      </c>
      <c r="I366" s="947">
        <f t="shared" si="108"/>
        <v>5719</v>
      </c>
      <c r="J366" s="1066"/>
      <c r="AA366" s="459">
        <f t="shared" si="99"/>
        <v>43</v>
      </c>
      <c r="AB366" s="459">
        <f t="shared" si="99"/>
        <v>0</v>
      </c>
    </row>
    <row r="367" spans="1:28" s="344" customFormat="1" ht="26.25" customHeight="1">
      <c r="A367" s="1066" t="s">
        <v>2116</v>
      </c>
      <c r="B367" s="995" t="s">
        <v>571</v>
      </c>
      <c r="C367" s="549">
        <v>4</v>
      </c>
      <c r="D367" s="1066" t="s">
        <v>598</v>
      </c>
      <c r="E367" s="946">
        <f>VLOOKUP(B367,$O$2:$Q$13,2,0)</f>
        <v>400</v>
      </c>
      <c r="F367" s="946">
        <f t="shared" si="106"/>
        <v>1600</v>
      </c>
      <c r="G367" s="946">
        <f>VLOOKUP(B367,$O$2:$Q$13,3,0)</f>
        <v>0</v>
      </c>
      <c r="H367" s="947">
        <f t="shared" si="107"/>
        <v>0</v>
      </c>
      <c r="I367" s="947">
        <f t="shared" si="108"/>
        <v>1600</v>
      </c>
      <c r="J367" s="1066"/>
      <c r="AA367" s="459">
        <f t="shared" si="99"/>
        <v>0</v>
      </c>
      <c r="AB367" s="459">
        <f t="shared" si="99"/>
        <v>0</v>
      </c>
    </row>
    <row r="368" spans="1:28" s="344" customFormat="1" ht="26.25" customHeight="1">
      <c r="A368" s="1066" t="s">
        <v>2117</v>
      </c>
      <c r="B368" s="995" t="s">
        <v>572</v>
      </c>
      <c r="C368" s="1058">
        <v>6</v>
      </c>
      <c r="D368" s="1066" t="s">
        <v>85</v>
      </c>
      <c r="E368" s="946">
        <f>VLOOKUP(B368,$O$2:$Q$13,2,0)</f>
        <v>56.78</v>
      </c>
      <c r="F368" s="946">
        <f t="shared" si="106"/>
        <v>340.68</v>
      </c>
      <c r="G368" s="946">
        <f>VLOOKUP(B368,$O$2:$Q$13,3,0)</f>
        <v>0</v>
      </c>
      <c r="H368" s="947">
        <f t="shared" si="107"/>
        <v>0</v>
      </c>
      <c r="I368" s="947">
        <f t="shared" si="108"/>
        <v>340.68</v>
      </c>
      <c r="J368" s="1066"/>
      <c r="AA368" s="459">
        <f t="shared" si="99"/>
        <v>0</v>
      </c>
      <c r="AB368" s="459">
        <f t="shared" si="99"/>
        <v>0</v>
      </c>
    </row>
    <row r="369" spans="1:28" s="344" customFormat="1" ht="26.25" customHeight="1">
      <c r="A369" s="1066" t="s">
        <v>2118</v>
      </c>
      <c r="B369" s="995" t="s">
        <v>573</v>
      </c>
      <c r="C369" s="1058">
        <v>9</v>
      </c>
      <c r="D369" s="1066" t="s">
        <v>85</v>
      </c>
      <c r="E369" s="946">
        <v>33</v>
      </c>
      <c r="F369" s="946">
        <f t="shared" si="106"/>
        <v>297</v>
      </c>
      <c r="G369" s="946">
        <f>VLOOKUP(B369,$O$2:$Q$13,3,0)</f>
        <v>0</v>
      </c>
      <c r="H369" s="947">
        <f t="shared" si="107"/>
        <v>0</v>
      </c>
      <c r="I369" s="947">
        <f t="shared" si="108"/>
        <v>297</v>
      </c>
      <c r="J369" s="1066"/>
      <c r="AA369" s="459">
        <f t="shared" si="99"/>
        <v>0</v>
      </c>
      <c r="AB369" s="459">
        <f t="shared" si="99"/>
        <v>0</v>
      </c>
    </row>
    <row r="370" spans="1:28" s="344" customFormat="1" ht="26.25" customHeight="1">
      <c r="A370" s="1089"/>
      <c r="B370" s="563" t="s">
        <v>1325</v>
      </c>
      <c r="C370" s="1090"/>
      <c r="D370" s="1089"/>
      <c r="E370" s="1091"/>
      <c r="F370" s="1091"/>
      <c r="G370" s="1091"/>
      <c r="H370" s="1092"/>
      <c r="I370" s="1093">
        <f>SUM(I362:I369)</f>
        <v>43295.969999999994</v>
      </c>
      <c r="J370" s="1089"/>
      <c r="AA370" s="459"/>
      <c r="AB370" s="459"/>
    </row>
    <row r="371" spans="1:28" s="344" customFormat="1" ht="26.25" customHeight="1">
      <c r="A371" s="1084" t="s">
        <v>1143</v>
      </c>
      <c r="B371" s="1085" t="s">
        <v>588</v>
      </c>
      <c r="C371" s="1086"/>
      <c r="D371" s="1084"/>
      <c r="E371" s="1087"/>
      <c r="F371" s="1088"/>
      <c r="G371" s="1087"/>
      <c r="H371" s="1088"/>
      <c r="I371" s="1088"/>
      <c r="J371" s="1084"/>
      <c r="AA371" s="459">
        <f t="shared" si="99"/>
        <v>0</v>
      </c>
      <c r="AB371" s="459">
        <f t="shared" si="99"/>
        <v>0</v>
      </c>
    </row>
    <row r="372" spans="1:28" s="344" customFormat="1" ht="26.25" customHeight="1">
      <c r="A372" s="1066" t="s">
        <v>2119</v>
      </c>
      <c r="B372" s="995" t="s">
        <v>567</v>
      </c>
      <c r="C372" s="1058">
        <v>32</v>
      </c>
      <c r="D372" s="1066" t="s">
        <v>545</v>
      </c>
      <c r="E372" s="946">
        <v>2420</v>
      </c>
      <c r="F372" s="946">
        <f t="shared" ref="F372:F379" si="109">E372*C372</f>
        <v>77440</v>
      </c>
      <c r="G372" s="946">
        <v>306</v>
      </c>
      <c r="H372" s="947">
        <f t="shared" ref="H372:H379" si="110">G372*C372</f>
        <v>9792</v>
      </c>
      <c r="I372" s="947">
        <f t="shared" ref="I372:I379" si="111">H372+F372</f>
        <v>87232</v>
      </c>
      <c r="J372" s="1066"/>
      <c r="AA372" s="459">
        <f t="shared" si="99"/>
        <v>0</v>
      </c>
      <c r="AB372" s="459">
        <f t="shared" si="99"/>
        <v>0</v>
      </c>
    </row>
    <row r="373" spans="1:28" s="344" customFormat="1" ht="26.25" customHeight="1">
      <c r="A373" s="1066" t="s">
        <v>2120</v>
      </c>
      <c r="B373" s="995" t="s">
        <v>568</v>
      </c>
      <c r="C373" s="1058">
        <v>973</v>
      </c>
      <c r="D373" s="1066" t="s">
        <v>85</v>
      </c>
      <c r="E373" s="946">
        <v>25.09</v>
      </c>
      <c r="F373" s="946">
        <f t="shared" si="109"/>
        <v>24412.57</v>
      </c>
      <c r="G373" s="946">
        <v>4.0999999999999996</v>
      </c>
      <c r="H373" s="947">
        <f t="shared" si="110"/>
        <v>3989.2999999999997</v>
      </c>
      <c r="I373" s="947">
        <f t="shared" si="111"/>
        <v>28401.87</v>
      </c>
      <c r="J373" s="1066"/>
      <c r="AA373" s="459">
        <f t="shared" si="99"/>
        <v>0</v>
      </c>
      <c r="AB373" s="459">
        <f t="shared" si="99"/>
        <v>0</v>
      </c>
    </row>
    <row r="374" spans="1:28" s="344" customFormat="1" ht="26.25" customHeight="1">
      <c r="A374" s="1066" t="s">
        <v>2121</v>
      </c>
      <c r="B374" s="995" t="s">
        <v>574</v>
      </c>
      <c r="C374" s="549">
        <v>2543</v>
      </c>
      <c r="D374" s="1066" t="s">
        <v>85</v>
      </c>
      <c r="E374" s="946">
        <v>26.36</v>
      </c>
      <c r="F374" s="946">
        <f t="shared" si="109"/>
        <v>67033.48</v>
      </c>
      <c r="G374" s="946">
        <v>3.3</v>
      </c>
      <c r="H374" s="947">
        <f t="shared" si="110"/>
        <v>8391.9</v>
      </c>
      <c r="I374" s="947">
        <f t="shared" si="111"/>
        <v>75425.37999999999</v>
      </c>
      <c r="J374" s="1066"/>
      <c r="AA374" s="459">
        <f t="shared" si="99"/>
        <v>0</v>
      </c>
      <c r="AB374" s="459">
        <f t="shared" si="99"/>
        <v>0</v>
      </c>
    </row>
    <row r="375" spans="1:28" s="344" customFormat="1" ht="26.25" customHeight="1">
      <c r="A375" s="1066" t="s">
        <v>2122</v>
      </c>
      <c r="B375" s="995" t="s">
        <v>570</v>
      </c>
      <c r="C375" s="549">
        <f>C376*0.025*35.31</f>
        <v>33.544500000000006</v>
      </c>
      <c r="D375" s="1066" t="s">
        <v>598</v>
      </c>
      <c r="E375" s="946">
        <f>VLOOKUP(B375,$O$2:$Q$13,2,0)</f>
        <v>400</v>
      </c>
      <c r="F375" s="946">
        <f t="shared" si="109"/>
        <v>13417.800000000003</v>
      </c>
      <c r="G375" s="946">
        <f>VLOOKUP(B375,$O$2:$Q$13,3,0)</f>
        <v>0</v>
      </c>
      <c r="H375" s="947">
        <f t="shared" si="110"/>
        <v>0</v>
      </c>
      <c r="I375" s="947">
        <f t="shared" si="111"/>
        <v>13417.800000000003</v>
      </c>
      <c r="J375" s="1066"/>
      <c r="AA375" s="459">
        <f t="shared" si="99"/>
        <v>0</v>
      </c>
      <c r="AB375" s="459">
        <f t="shared" si="99"/>
        <v>0</v>
      </c>
    </row>
    <row r="376" spans="1:28" s="344" customFormat="1" ht="26.25" customHeight="1">
      <c r="A376" s="1066" t="s">
        <v>2123</v>
      </c>
      <c r="B376" s="995" t="s">
        <v>1036</v>
      </c>
      <c r="C376" s="549">
        <v>38</v>
      </c>
      <c r="D376" s="1066" t="s">
        <v>278</v>
      </c>
      <c r="E376" s="946">
        <f>VLOOKUP(B376,$O$2:$Q$13,2,0)</f>
        <v>0</v>
      </c>
      <c r="F376" s="946">
        <f t="shared" si="109"/>
        <v>0</v>
      </c>
      <c r="G376" s="946">
        <f>VLOOKUP(B376,$O$2:$Q$13,3,0)</f>
        <v>133</v>
      </c>
      <c r="H376" s="947">
        <f t="shared" si="110"/>
        <v>5054</v>
      </c>
      <c r="I376" s="947">
        <f t="shared" si="111"/>
        <v>5054</v>
      </c>
      <c r="J376" s="1066"/>
      <c r="AA376" s="459">
        <f t="shared" si="99"/>
        <v>38</v>
      </c>
      <c r="AB376" s="459">
        <f t="shared" si="99"/>
        <v>0</v>
      </c>
    </row>
    <row r="377" spans="1:28" s="344" customFormat="1" ht="26.25" customHeight="1">
      <c r="A377" s="1066" t="s">
        <v>2124</v>
      </c>
      <c r="B377" s="995" t="s">
        <v>571</v>
      </c>
      <c r="C377" s="549">
        <v>25</v>
      </c>
      <c r="D377" s="1066" t="s">
        <v>598</v>
      </c>
      <c r="E377" s="946">
        <f>VLOOKUP(B377,$O$2:$Q$13,2,0)</f>
        <v>400</v>
      </c>
      <c r="F377" s="946">
        <f t="shared" si="109"/>
        <v>10000</v>
      </c>
      <c r="G377" s="946">
        <f>VLOOKUP(B377,$O$2:$Q$13,3,0)</f>
        <v>0</v>
      </c>
      <c r="H377" s="947">
        <f t="shared" si="110"/>
        <v>0</v>
      </c>
      <c r="I377" s="947">
        <f t="shared" si="111"/>
        <v>10000</v>
      </c>
      <c r="J377" s="1066"/>
      <c r="AA377" s="459">
        <f t="shared" si="99"/>
        <v>0</v>
      </c>
      <c r="AB377" s="459">
        <f t="shared" si="99"/>
        <v>0</v>
      </c>
    </row>
    <row r="378" spans="1:28" s="344" customFormat="1" ht="26.25" customHeight="1">
      <c r="A378" s="1066" t="s">
        <v>2125</v>
      </c>
      <c r="B378" s="995" t="s">
        <v>572</v>
      </c>
      <c r="C378" s="1058">
        <v>42</v>
      </c>
      <c r="D378" s="1066" t="s">
        <v>85</v>
      </c>
      <c r="E378" s="946">
        <f>VLOOKUP(B378,$O$2:$Q$13,2,0)</f>
        <v>56.78</v>
      </c>
      <c r="F378" s="946">
        <f t="shared" si="109"/>
        <v>2384.7600000000002</v>
      </c>
      <c r="G378" s="946">
        <f>VLOOKUP(B378,$O$2:$Q$13,3,0)</f>
        <v>0</v>
      </c>
      <c r="H378" s="947">
        <f t="shared" si="110"/>
        <v>0</v>
      </c>
      <c r="I378" s="947">
        <f t="shared" si="111"/>
        <v>2384.7600000000002</v>
      </c>
      <c r="J378" s="1066"/>
      <c r="AA378" s="459">
        <f t="shared" si="99"/>
        <v>0</v>
      </c>
      <c r="AB378" s="459">
        <f t="shared" si="99"/>
        <v>0</v>
      </c>
    </row>
    <row r="379" spans="1:28" s="344" customFormat="1" ht="26.25" customHeight="1">
      <c r="A379" s="1066" t="s">
        <v>2126</v>
      </c>
      <c r="B379" s="995" t="s">
        <v>573</v>
      </c>
      <c r="C379" s="1058">
        <v>106</v>
      </c>
      <c r="D379" s="1066" t="s">
        <v>85</v>
      </c>
      <c r="E379" s="946">
        <v>33</v>
      </c>
      <c r="F379" s="946">
        <f t="shared" si="109"/>
        <v>3498</v>
      </c>
      <c r="G379" s="946">
        <f>VLOOKUP(B379,$O$2:$Q$13,3,0)</f>
        <v>0</v>
      </c>
      <c r="H379" s="947">
        <f t="shared" si="110"/>
        <v>0</v>
      </c>
      <c r="I379" s="947">
        <f t="shared" si="111"/>
        <v>3498</v>
      </c>
      <c r="J379" s="1066"/>
      <c r="AA379" s="459">
        <f t="shared" si="99"/>
        <v>0</v>
      </c>
      <c r="AB379" s="459">
        <f t="shared" si="99"/>
        <v>0</v>
      </c>
    </row>
    <row r="380" spans="1:28" s="344" customFormat="1" ht="26.25" customHeight="1">
      <c r="A380" s="1089"/>
      <c r="B380" s="563" t="s">
        <v>1328</v>
      </c>
      <c r="C380" s="1090"/>
      <c r="D380" s="1089"/>
      <c r="E380" s="1091"/>
      <c r="F380" s="1091"/>
      <c r="G380" s="1091"/>
      <c r="H380" s="1092"/>
      <c r="I380" s="1093">
        <f>SUM(I372:I379)</f>
        <v>225413.81</v>
      </c>
      <c r="J380" s="1089"/>
      <c r="AA380" s="459"/>
      <c r="AB380" s="459"/>
    </row>
    <row r="381" spans="1:28" s="344" customFormat="1" ht="26.25" customHeight="1">
      <c r="A381" s="1084" t="s">
        <v>1144</v>
      </c>
      <c r="B381" s="1085" t="s">
        <v>1012</v>
      </c>
      <c r="C381" s="1086"/>
      <c r="D381" s="1084"/>
      <c r="E381" s="1087"/>
      <c r="F381" s="1088"/>
      <c r="G381" s="1087"/>
      <c r="H381" s="1088"/>
      <c r="I381" s="1088"/>
      <c r="J381" s="1084"/>
      <c r="AA381" s="459">
        <f t="shared" si="99"/>
        <v>0</v>
      </c>
      <c r="AB381" s="459">
        <f t="shared" si="99"/>
        <v>0</v>
      </c>
    </row>
    <row r="382" spans="1:28" s="344" customFormat="1" ht="26.25" customHeight="1">
      <c r="A382" s="1066" t="s">
        <v>2127</v>
      </c>
      <c r="B382" s="995" t="s">
        <v>567</v>
      </c>
      <c r="C382" s="1058">
        <v>2</v>
      </c>
      <c r="D382" s="1066" t="s">
        <v>545</v>
      </c>
      <c r="E382" s="946">
        <v>2420</v>
      </c>
      <c r="F382" s="946">
        <f t="shared" ref="F382:F389" si="112">E382*C382</f>
        <v>4840</v>
      </c>
      <c r="G382" s="946">
        <v>306</v>
      </c>
      <c r="H382" s="947">
        <f t="shared" ref="H382:H389" si="113">G382*C382</f>
        <v>612</v>
      </c>
      <c r="I382" s="947">
        <f t="shared" ref="I382:I389" si="114">H382+F382</f>
        <v>5452</v>
      </c>
      <c r="J382" s="1066"/>
      <c r="AA382" s="459">
        <f t="shared" si="99"/>
        <v>0</v>
      </c>
      <c r="AB382" s="459">
        <f t="shared" si="99"/>
        <v>0</v>
      </c>
    </row>
    <row r="383" spans="1:28" s="344" customFormat="1" ht="26.25" customHeight="1">
      <c r="A383" s="1066" t="s">
        <v>2128</v>
      </c>
      <c r="B383" s="995" t="s">
        <v>568</v>
      </c>
      <c r="C383" s="1058">
        <v>54</v>
      </c>
      <c r="D383" s="1066" t="s">
        <v>85</v>
      </c>
      <c r="E383" s="946">
        <v>25.09</v>
      </c>
      <c r="F383" s="946">
        <f t="shared" si="112"/>
        <v>1354.86</v>
      </c>
      <c r="G383" s="946">
        <v>4.0999999999999996</v>
      </c>
      <c r="H383" s="947">
        <f t="shared" si="113"/>
        <v>221.39999999999998</v>
      </c>
      <c r="I383" s="947">
        <f t="shared" si="114"/>
        <v>1576.2599999999998</v>
      </c>
      <c r="J383" s="1066"/>
      <c r="AA383" s="459">
        <f t="shared" si="99"/>
        <v>0</v>
      </c>
      <c r="AB383" s="459">
        <f t="shared" si="99"/>
        <v>0</v>
      </c>
    </row>
    <row r="384" spans="1:28" s="344" customFormat="1" ht="26.25" customHeight="1">
      <c r="A384" s="1066" t="s">
        <v>2129</v>
      </c>
      <c r="B384" s="995" t="s">
        <v>574</v>
      </c>
      <c r="C384" s="549">
        <v>147</v>
      </c>
      <c r="D384" s="1066" t="s">
        <v>85</v>
      </c>
      <c r="E384" s="946">
        <v>26.36</v>
      </c>
      <c r="F384" s="946">
        <f t="shared" si="112"/>
        <v>3874.92</v>
      </c>
      <c r="G384" s="946">
        <v>3.3</v>
      </c>
      <c r="H384" s="947">
        <f t="shared" si="113"/>
        <v>485.09999999999997</v>
      </c>
      <c r="I384" s="947">
        <f t="shared" si="114"/>
        <v>4360.0200000000004</v>
      </c>
      <c r="J384" s="1066"/>
      <c r="AA384" s="459">
        <f t="shared" si="99"/>
        <v>0</v>
      </c>
      <c r="AB384" s="459">
        <f t="shared" si="99"/>
        <v>0</v>
      </c>
    </row>
    <row r="385" spans="1:28" s="344" customFormat="1" ht="26.25" customHeight="1">
      <c r="A385" s="1066" t="s">
        <v>2130</v>
      </c>
      <c r="B385" s="995" t="s">
        <v>570</v>
      </c>
      <c r="C385" s="549">
        <f>C386*0.025*35.31</f>
        <v>15.006750000000002</v>
      </c>
      <c r="D385" s="1066" t="s">
        <v>598</v>
      </c>
      <c r="E385" s="946">
        <f>VLOOKUP(B385,$O$2:$Q$13,2,0)</f>
        <v>400</v>
      </c>
      <c r="F385" s="946">
        <f t="shared" si="112"/>
        <v>6002.7000000000007</v>
      </c>
      <c r="G385" s="946">
        <f>VLOOKUP(B385,$O$2:$Q$13,3,0)</f>
        <v>0</v>
      </c>
      <c r="H385" s="947">
        <f t="shared" si="113"/>
        <v>0</v>
      </c>
      <c r="I385" s="947">
        <f t="shared" si="114"/>
        <v>6002.7000000000007</v>
      </c>
      <c r="J385" s="1066"/>
      <c r="AA385" s="459">
        <f t="shared" si="99"/>
        <v>0</v>
      </c>
      <c r="AB385" s="459">
        <f t="shared" si="99"/>
        <v>0</v>
      </c>
    </row>
    <row r="386" spans="1:28" s="344" customFormat="1" ht="26.25" customHeight="1">
      <c r="A386" s="1066" t="s">
        <v>2131</v>
      </c>
      <c r="B386" s="995" t="s">
        <v>1036</v>
      </c>
      <c r="C386" s="549">
        <v>17</v>
      </c>
      <c r="D386" s="1066" t="s">
        <v>278</v>
      </c>
      <c r="E386" s="946">
        <f>VLOOKUP(B386,$O$2:$Q$13,2,0)</f>
        <v>0</v>
      </c>
      <c r="F386" s="946">
        <f t="shared" si="112"/>
        <v>0</v>
      </c>
      <c r="G386" s="946">
        <f>VLOOKUP(B386,$O$2:$Q$13,3,0)</f>
        <v>133</v>
      </c>
      <c r="H386" s="947">
        <f t="shared" si="113"/>
        <v>2261</v>
      </c>
      <c r="I386" s="947">
        <f t="shared" si="114"/>
        <v>2261</v>
      </c>
      <c r="J386" s="1066"/>
      <c r="AA386" s="459">
        <f t="shared" si="99"/>
        <v>17</v>
      </c>
      <c r="AB386" s="459">
        <f t="shared" si="99"/>
        <v>0</v>
      </c>
    </row>
    <row r="387" spans="1:28" s="344" customFormat="1" ht="25.9" customHeight="1">
      <c r="A387" s="1066" t="s">
        <v>2132</v>
      </c>
      <c r="B387" s="995" t="s">
        <v>571</v>
      </c>
      <c r="C387" s="549">
        <v>2</v>
      </c>
      <c r="D387" s="1066" t="s">
        <v>598</v>
      </c>
      <c r="E387" s="946">
        <f>VLOOKUP(B387,$O$2:$Q$13,2,0)</f>
        <v>400</v>
      </c>
      <c r="F387" s="946">
        <f t="shared" si="112"/>
        <v>800</v>
      </c>
      <c r="G387" s="946">
        <f>VLOOKUP(B387,$O$2:$Q$13,3,0)</f>
        <v>0</v>
      </c>
      <c r="H387" s="947">
        <f t="shared" si="113"/>
        <v>0</v>
      </c>
      <c r="I387" s="947">
        <f t="shared" si="114"/>
        <v>800</v>
      </c>
      <c r="J387" s="1066"/>
      <c r="AA387" s="459">
        <f t="shared" si="99"/>
        <v>0</v>
      </c>
      <c r="AB387" s="459">
        <f t="shared" si="99"/>
        <v>0</v>
      </c>
    </row>
    <row r="388" spans="1:28" s="344" customFormat="1" ht="26.25" customHeight="1">
      <c r="A388" s="1066" t="s">
        <v>2133</v>
      </c>
      <c r="B388" s="995" t="s">
        <v>572</v>
      </c>
      <c r="C388" s="1058">
        <v>2</v>
      </c>
      <c r="D388" s="1066" t="s">
        <v>85</v>
      </c>
      <c r="E388" s="946">
        <f>VLOOKUP(B388,$O$2:$Q$13,2,0)</f>
        <v>56.78</v>
      </c>
      <c r="F388" s="946">
        <f t="shared" si="112"/>
        <v>113.56</v>
      </c>
      <c r="G388" s="946">
        <f>VLOOKUP(B388,$O$2:$Q$13,3,0)</f>
        <v>0</v>
      </c>
      <c r="H388" s="947">
        <f t="shared" si="113"/>
        <v>0</v>
      </c>
      <c r="I388" s="947">
        <f t="shared" si="114"/>
        <v>113.56</v>
      </c>
      <c r="J388" s="1066"/>
      <c r="AA388" s="459">
        <f t="shared" si="99"/>
        <v>0</v>
      </c>
      <c r="AB388" s="459">
        <f t="shared" si="99"/>
        <v>0</v>
      </c>
    </row>
    <row r="389" spans="1:28" s="344" customFormat="1" ht="26.25" customHeight="1">
      <c r="A389" s="1066" t="s">
        <v>2134</v>
      </c>
      <c r="B389" s="995" t="s">
        <v>573</v>
      </c>
      <c r="C389" s="1058">
        <v>6</v>
      </c>
      <c r="D389" s="1066" t="s">
        <v>85</v>
      </c>
      <c r="E389" s="946">
        <v>33</v>
      </c>
      <c r="F389" s="946">
        <f t="shared" si="112"/>
        <v>198</v>
      </c>
      <c r="G389" s="946">
        <f>VLOOKUP(B389,$O$2:$Q$13,3,0)</f>
        <v>0</v>
      </c>
      <c r="H389" s="947">
        <f t="shared" si="113"/>
        <v>0</v>
      </c>
      <c r="I389" s="947">
        <f t="shared" si="114"/>
        <v>198</v>
      </c>
      <c r="J389" s="1066"/>
      <c r="AA389" s="459">
        <f t="shared" si="99"/>
        <v>0</v>
      </c>
      <c r="AB389" s="459">
        <f t="shared" si="99"/>
        <v>0</v>
      </c>
    </row>
    <row r="390" spans="1:28" s="344" customFormat="1" ht="26.25" customHeight="1">
      <c r="A390" s="1089"/>
      <c r="B390" s="563" t="s">
        <v>1331</v>
      </c>
      <c r="C390" s="1090"/>
      <c r="D390" s="1089"/>
      <c r="E390" s="1091"/>
      <c r="F390" s="1091"/>
      <c r="G390" s="1091"/>
      <c r="H390" s="1092"/>
      <c r="I390" s="1093">
        <f>SUM(I382:I389)</f>
        <v>20763.540000000005</v>
      </c>
      <c r="J390" s="1089"/>
      <c r="AA390" s="459"/>
      <c r="AB390" s="459"/>
    </row>
    <row r="391" spans="1:28" s="344" customFormat="1" ht="26.25" customHeight="1">
      <c r="A391" s="1084" t="s">
        <v>1145</v>
      </c>
      <c r="B391" s="1085" t="s">
        <v>1013</v>
      </c>
      <c r="C391" s="1086"/>
      <c r="D391" s="1084"/>
      <c r="E391" s="1087"/>
      <c r="F391" s="1088"/>
      <c r="G391" s="1087"/>
      <c r="H391" s="1088"/>
      <c r="I391" s="1088"/>
      <c r="J391" s="1084"/>
      <c r="AA391" s="459">
        <f t="shared" si="99"/>
        <v>0</v>
      </c>
      <c r="AB391" s="459">
        <f t="shared" si="99"/>
        <v>0</v>
      </c>
    </row>
    <row r="392" spans="1:28" s="344" customFormat="1" ht="26.25" customHeight="1">
      <c r="A392" s="1066" t="s">
        <v>2135</v>
      </c>
      <c r="B392" s="995" t="s">
        <v>567</v>
      </c>
      <c r="C392" s="1058">
        <v>2</v>
      </c>
      <c r="D392" s="1066" t="s">
        <v>545</v>
      </c>
      <c r="E392" s="946">
        <v>2420</v>
      </c>
      <c r="F392" s="946">
        <f t="shared" ref="F392:F399" si="115">E392*C392</f>
        <v>4840</v>
      </c>
      <c r="G392" s="946">
        <v>306</v>
      </c>
      <c r="H392" s="947">
        <f t="shared" ref="H392:H399" si="116">G392*C392</f>
        <v>612</v>
      </c>
      <c r="I392" s="947">
        <f t="shared" ref="I392:I399" si="117">H392+F392</f>
        <v>5452</v>
      </c>
      <c r="J392" s="1066"/>
      <c r="AA392" s="459">
        <f t="shared" si="99"/>
        <v>0</v>
      </c>
      <c r="AB392" s="459">
        <f t="shared" si="99"/>
        <v>0</v>
      </c>
    </row>
    <row r="393" spans="1:28" s="344" customFormat="1" ht="26.25" customHeight="1">
      <c r="A393" s="1066" t="s">
        <v>2136</v>
      </c>
      <c r="B393" s="995" t="s">
        <v>576</v>
      </c>
      <c r="C393" s="1058">
        <v>24</v>
      </c>
      <c r="D393" s="1066" t="s">
        <v>85</v>
      </c>
      <c r="E393" s="946">
        <v>26.03</v>
      </c>
      <c r="F393" s="946">
        <f t="shared" si="115"/>
        <v>624.72</v>
      </c>
      <c r="G393" s="946">
        <v>4.0999999999999996</v>
      </c>
      <c r="H393" s="947">
        <f t="shared" si="116"/>
        <v>98.399999999999991</v>
      </c>
      <c r="I393" s="947">
        <f t="shared" si="117"/>
        <v>723.12</v>
      </c>
      <c r="J393" s="1066"/>
      <c r="AA393" s="459">
        <f t="shared" si="99"/>
        <v>0</v>
      </c>
      <c r="AB393" s="459">
        <f t="shared" si="99"/>
        <v>0</v>
      </c>
    </row>
    <row r="394" spans="1:28" s="344" customFormat="1" ht="26.25" customHeight="1">
      <c r="A394" s="1066" t="s">
        <v>2137</v>
      </c>
      <c r="B394" s="995" t="s">
        <v>574</v>
      </c>
      <c r="C394" s="549">
        <v>131</v>
      </c>
      <c r="D394" s="1066" t="s">
        <v>85</v>
      </c>
      <c r="E394" s="946">
        <v>26.36</v>
      </c>
      <c r="F394" s="946">
        <f t="shared" si="115"/>
        <v>3453.16</v>
      </c>
      <c r="G394" s="946">
        <v>3.3</v>
      </c>
      <c r="H394" s="947">
        <f t="shared" si="116"/>
        <v>432.29999999999995</v>
      </c>
      <c r="I394" s="947">
        <f t="shared" si="117"/>
        <v>3885.46</v>
      </c>
      <c r="J394" s="1066"/>
      <c r="AA394" s="459">
        <f t="shared" si="99"/>
        <v>0</v>
      </c>
      <c r="AB394" s="459">
        <f t="shared" si="99"/>
        <v>0</v>
      </c>
    </row>
    <row r="395" spans="1:28" s="344" customFormat="1" ht="26.25" customHeight="1">
      <c r="A395" s="1066" t="s">
        <v>2138</v>
      </c>
      <c r="B395" s="995" t="s">
        <v>570</v>
      </c>
      <c r="C395" s="549">
        <f>C396*0.025*35.31</f>
        <v>15.889500000000002</v>
      </c>
      <c r="D395" s="1066" t="s">
        <v>598</v>
      </c>
      <c r="E395" s="946">
        <f>VLOOKUP(B395,$O$2:$Q$13,2,0)</f>
        <v>400</v>
      </c>
      <c r="F395" s="946">
        <f t="shared" si="115"/>
        <v>6355.8000000000011</v>
      </c>
      <c r="G395" s="946">
        <f>VLOOKUP(B395,$O$2:$Q$13,3,0)</f>
        <v>0</v>
      </c>
      <c r="H395" s="947">
        <f t="shared" si="116"/>
        <v>0</v>
      </c>
      <c r="I395" s="947">
        <f t="shared" si="117"/>
        <v>6355.8000000000011</v>
      </c>
      <c r="J395" s="1066"/>
      <c r="AA395" s="459">
        <f t="shared" si="99"/>
        <v>0</v>
      </c>
      <c r="AB395" s="459">
        <f t="shared" si="99"/>
        <v>0</v>
      </c>
    </row>
    <row r="396" spans="1:28" s="344" customFormat="1" ht="26.25" customHeight="1">
      <c r="A396" s="1066" t="s">
        <v>2139</v>
      </c>
      <c r="B396" s="995" t="s">
        <v>1036</v>
      </c>
      <c r="C396" s="549">
        <v>18</v>
      </c>
      <c r="D396" s="1066" t="s">
        <v>278</v>
      </c>
      <c r="E396" s="946">
        <f>VLOOKUP(B396,$O$2:$Q$13,2,0)</f>
        <v>0</v>
      </c>
      <c r="F396" s="946">
        <f t="shared" si="115"/>
        <v>0</v>
      </c>
      <c r="G396" s="946">
        <f>VLOOKUP(B396,$O$2:$Q$13,3,0)</f>
        <v>133</v>
      </c>
      <c r="H396" s="947">
        <f t="shared" si="116"/>
        <v>2394</v>
      </c>
      <c r="I396" s="947">
        <f t="shared" si="117"/>
        <v>2394</v>
      </c>
      <c r="J396" s="1066"/>
      <c r="AA396" s="459">
        <f t="shared" si="99"/>
        <v>18</v>
      </c>
      <c r="AB396" s="459">
        <f t="shared" si="99"/>
        <v>0</v>
      </c>
    </row>
    <row r="397" spans="1:28" s="344" customFormat="1" ht="26.25" customHeight="1">
      <c r="A397" s="1066" t="s">
        <v>2140</v>
      </c>
      <c r="B397" s="995" t="s">
        <v>571</v>
      </c>
      <c r="C397" s="549">
        <v>2</v>
      </c>
      <c r="D397" s="1066" t="s">
        <v>598</v>
      </c>
      <c r="E397" s="946">
        <f>VLOOKUP(B397,$O$2:$Q$13,2,0)</f>
        <v>400</v>
      </c>
      <c r="F397" s="946">
        <f t="shared" si="115"/>
        <v>800</v>
      </c>
      <c r="G397" s="946">
        <f>VLOOKUP(B397,$O$2:$Q$13,3,0)</f>
        <v>0</v>
      </c>
      <c r="H397" s="947">
        <f t="shared" si="116"/>
        <v>0</v>
      </c>
      <c r="I397" s="947">
        <f t="shared" si="117"/>
        <v>800</v>
      </c>
      <c r="J397" s="1066"/>
      <c r="AA397" s="459">
        <f t="shared" si="99"/>
        <v>0</v>
      </c>
      <c r="AB397" s="459">
        <f t="shared" si="99"/>
        <v>0</v>
      </c>
    </row>
    <row r="398" spans="1:28" s="344" customFormat="1" ht="26.25" customHeight="1">
      <c r="A398" s="1066" t="s">
        <v>2141</v>
      </c>
      <c r="B398" s="995" t="s">
        <v>572</v>
      </c>
      <c r="C398" s="1058">
        <v>3</v>
      </c>
      <c r="D398" s="1066" t="s">
        <v>85</v>
      </c>
      <c r="E398" s="946">
        <f>VLOOKUP(B398,$O$2:$Q$13,2,0)</f>
        <v>56.78</v>
      </c>
      <c r="F398" s="946">
        <f t="shared" si="115"/>
        <v>170.34</v>
      </c>
      <c r="G398" s="946">
        <f>VLOOKUP(B398,$O$2:$Q$13,3,0)</f>
        <v>0</v>
      </c>
      <c r="H398" s="947">
        <f t="shared" si="116"/>
        <v>0</v>
      </c>
      <c r="I398" s="947">
        <f t="shared" si="117"/>
        <v>170.34</v>
      </c>
      <c r="J398" s="1066"/>
      <c r="AA398" s="459">
        <f t="shared" si="99"/>
        <v>0</v>
      </c>
      <c r="AB398" s="459">
        <f t="shared" si="99"/>
        <v>0</v>
      </c>
    </row>
    <row r="399" spans="1:28" s="344" customFormat="1" ht="26.25" customHeight="1">
      <c r="A399" s="1066" t="s">
        <v>2142</v>
      </c>
      <c r="B399" s="995" t="s">
        <v>573</v>
      </c>
      <c r="C399" s="1058">
        <v>5</v>
      </c>
      <c r="D399" s="1066" t="s">
        <v>85</v>
      </c>
      <c r="E399" s="946">
        <v>33</v>
      </c>
      <c r="F399" s="946">
        <f t="shared" si="115"/>
        <v>165</v>
      </c>
      <c r="G399" s="946">
        <f>VLOOKUP(B399,$O$2:$Q$13,3,0)</f>
        <v>0</v>
      </c>
      <c r="H399" s="947">
        <f t="shared" si="116"/>
        <v>0</v>
      </c>
      <c r="I399" s="947">
        <f t="shared" si="117"/>
        <v>165</v>
      </c>
      <c r="J399" s="1066"/>
      <c r="AA399" s="459">
        <f t="shared" si="99"/>
        <v>0</v>
      </c>
      <c r="AB399" s="459">
        <f t="shared" si="99"/>
        <v>0</v>
      </c>
    </row>
    <row r="400" spans="1:28" s="344" customFormat="1" ht="26.25" customHeight="1">
      <c r="A400" s="1089"/>
      <c r="B400" s="563" t="s">
        <v>1344</v>
      </c>
      <c r="C400" s="1090"/>
      <c r="D400" s="1089"/>
      <c r="E400" s="1091"/>
      <c r="F400" s="1091"/>
      <c r="G400" s="1091"/>
      <c r="H400" s="1092"/>
      <c r="I400" s="1093">
        <f>SUM(I392:I399)</f>
        <v>19945.72</v>
      </c>
      <c r="J400" s="1089"/>
      <c r="AA400" s="459"/>
      <c r="AB400" s="459"/>
    </row>
    <row r="401" spans="1:28" s="344" customFormat="1" ht="26.25" customHeight="1">
      <c r="A401" s="1084" t="s">
        <v>1146</v>
      </c>
      <c r="B401" s="1085" t="s">
        <v>1017</v>
      </c>
      <c r="C401" s="1086"/>
      <c r="D401" s="1084"/>
      <c r="E401" s="1087"/>
      <c r="F401" s="1088"/>
      <c r="G401" s="1087"/>
      <c r="H401" s="1088"/>
      <c r="I401" s="1088"/>
      <c r="J401" s="1084"/>
      <c r="AA401" s="459">
        <f t="shared" si="99"/>
        <v>0</v>
      </c>
      <c r="AB401" s="459">
        <f t="shared" si="99"/>
        <v>0</v>
      </c>
    </row>
    <row r="402" spans="1:28" s="344" customFormat="1" ht="26.25" customHeight="1">
      <c r="A402" s="1066" t="s">
        <v>2143</v>
      </c>
      <c r="B402" s="995" t="s">
        <v>567</v>
      </c>
      <c r="C402" s="1058">
        <v>8</v>
      </c>
      <c r="D402" s="1066" t="s">
        <v>545</v>
      </c>
      <c r="E402" s="946">
        <v>2420</v>
      </c>
      <c r="F402" s="946">
        <f t="shared" ref="F402:F409" si="118">E402*C402</f>
        <v>19360</v>
      </c>
      <c r="G402" s="946">
        <v>306</v>
      </c>
      <c r="H402" s="947">
        <f t="shared" ref="H402:H409" si="119">G402*C402</f>
        <v>2448</v>
      </c>
      <c r="I402" s="947">
        <f t="shared" ref="I402:I409" si="120">H402+F402</f>
        <v>21808</v>
      </c>
      <c r="J402" s="1066"/>
      <c r="AA402" s="459">
        <f t="shared" si="99"/>
        <v>0</v>
      </c>
      <c r="AB402" s="459">
        <f t="shared" si="99"/>
        <v>0</v>
      </c>
    </row>
    <row r="403" spans="1:28" s="344" customFormat="1" ht="26.25" customHeight="1">
      <c r="A403" s="1066" t="s">
        <v>2144</v>
      </c>
      <c r="B403" s="995" t="s">
        <v>576</v>
      </c>
      <c r="C403" s="1058">
        <v>140</v>
      </c>
      <c r="D403" s="1066" t="s">
        <v>85</v>
      </c>
      <c r="E403" s="946">
        <v>26.03</v>
      </c>
      <c r="F403" s="946">
        <f t="shared" si="118"/>
        <v>3644.2000000000003</v>
      </c>
      <c r="G403" s="946">
        <v>4.0999999999999996</v>
      </c>
      <c r="H403" s="947">
        <f t="shared" si="119"/>
        <v>574</v>
      </c>
      <c r="I403" s="947">
        <f t="shared" si="120"/>
        <v>4218.2000000000007</v>
      </c>
      <c r="J403" s="1066"/>
      <c r="AA403" s="459">
        <f t="shared" si="99"/>
        <v>0</v>
      </c>
      <c r="AB403" s="459">
        <f t="shared" si="99"/>
        <v>0</v>
      </c>
    </row>
    <row r="404" spans="1:28" s="344" customFormat="1" ht="26.25" customHeight="1">
      <c r="A404" s="1066" t="s">
        <v>2145</v>
      </c>
      <c r="B404" s="995" t="s">
        <v>574</v>
      </c>
      <c r="C404" s="549">
        <v>525</v>
      </c>
      <c r="D404" s="1066" t="s">
        <v>85</v>
      </c>
      <c r="E404" s="946">
        <v>26.36</v>
      </c>
      <c r="F404" s="946">
        <f t="shared" si="118"/>
        <v>13839</v>
      </c>
      <c r="G404" s="946">
        <v>3.3</v>
      </c>
      <c r="H404" s="947">
        <f t="shared" si="119"/>
        <v>1732.5</v>
      </c>
      <c r="I404" s="947">
        <f t="shared" si="120"/>
        <v>15571.5</v>
      </c>
      <c r="J404" s="1066"/>
      <c r="AA404" s="459">
        <f t="shared" si="99"/>
        <v>0</v>
      </c>
      <c r="AB404" s="459">
        <f t="shared" si="99"/>
        <v>0</v>
      </c>
    </row>
    <row r="405" spans="1:28" s="344" customFormat="1" ht="26.25" customHeight="1">
      <c r="A405" s="1066" t="s">
        <v>2146</v>
      </c>
      <c r="B405" s="995" t="s">
        <v>570</v>
      </c>
      <c r="C405" s="549">
        <f>C406*0.025*35.31</f>
        <v>66.206250000000011</v>
      </c>
      <c r="D405" s="1066" t="s">
        <v>598</v>
      </c>
      <c r="E405" s="946">
        <f>VLOOKUP(B405,$O$2:$Q$13,2,0)</f>
        <v>400</v>
      </c>
      <c r="F405" s="946">
        <f t="shared" si="118"/>
        <v>26482.500000000004</v>
      </c>
      <c r="G405" s="946">
        <f>VLOOKUP(B405,$O$2:$Q$13,3,0)</f>
        <v>0</v>
      </c>
      <c r="H405" s="947">
        <f t="shared" si="119"/>
        <v>0</v>
      </c>
      <c r="I405" s="947">
        <f t="shared" si="120"/>
        <v>26482.500000000004</v>
      </c>
      <c r="J405" s="1066"/>
      <c r="AA405" s="459">
        <f t="shared" si="99"/>
        <v>0</v>
      </c>
      <c r="AB405" s="459">
        <f t="shared" si="99"/>
        <v>0</v>
      </c>
    </row>
    <row r="406" spans="1:28" s="344" customFormat="1" ht="26.25" customHeight="1">
      <c r="A406" s="1066" t="s">
        <v>2147</v>
      </c>
      <c r="B406" s="995" t="s">
        <v>1036</v>
      </c>
      <c r="C406" s="549">
        <v>75</v>
      </c>
      <c r="D406" s="1066" t="s">
        <v>278</v>
      </c>
      <c r="E406" s="946">
        <f>VLOOKUP(B406,$O$2:$Q$13,2,0)</f>
        <v>0</v>
      </c>
      <c r="F406" s="946">
        <f t="shared" si="118"/>
        <v>0</v>
      </c>
      <c r="G406" s="946">
        <f>VLOOKUP(B406,$O$2:$Q$13,3,0)</f>
        <v>133</v>
      </c>
      <c r="H406" s="947">
        <f t="shared" si="119"/>
        <v>9975</v>
      </c>
      <c r="I406" s="947">
        <f t="shared" si="120"/>
        <v>9975</v>
      </c>
      <c r="J406" s="1066"/>
      <c r="AA406" s="459">
        <f t="shared" si="99"/>
        <v>75</v>
      </c>
      <c r="AB406" s="459">
        <f t="shared" si="99"/>
        <v>0</v>
      </c>
    </row>
    <row r="407" spans="1:28" s="344" customFormat="1" ht="26.25" customHeight="1">
      <c r="A407" s="1066" t="s">
        <v>2148</v>
      </c>
      <c r="B407" s="995" t="s">
        <v>571</v>
      </c>
      <c r="C407" s="549">
        <v>7</v>
      </c>
      <c r="D407" s="1066" t="s">
        <v>598</v>
      </c>
      <c r="E407" s="946">
        <f>VLOOKUP(B407,$O$2:$Q$13,2,0)</f>
        <v>400</v>
      </c>
      <c r="F407" s="946">
        <f t="shared" si="118"/>
        <v>2800</v>
      </c>
      <c r="G407" s="946">
        <f>VLOOKUP(B407,$O$2:$Q$13,3,0)</f>
        <v>0</v>
      </c>
      <c r="H407" s="947">
        <f t="shared" si="119"/>
        <v>0</v>
      </c>
      <c r="I407" s="947">
        <f t="shared" si="120"/>
        <v>2800</v>
      </c>
      <c r="J407" s="1066"/>
      <c r="AA407" s="459">
        <f t="shared" si="99"/>
        <v>0</v>
      </c>
      <c r="AB407" s="459">
        <f t="shared" si="99"/>
        <v>0</v>
      </c>
    </row>
    <row r="408" spans="1:28" s="344" customFormat="1" ht="26.25" customHeight="1">
      <c r="A408" s="1066" t="s">
        <v>2149</v>
      </c>
      <c r="B408" s="995" t="s">
        <v>572</v>
      </c>
      <c r="C408" s="1058">
        <v>11</v>
      </c>
      <c r="D408" s="1066" t="s">
        <v>85</v>
      </c>
      <c r="E408" s="946">
        <f>VLOOKUP(B408,$O$2:$Q$13,2,0)</f>
        <v>56.78</v>
      </c>
      <c r="F408" s="946">
        <f t="shared" si="118"/>
        <v>624.58000000000004</v>
      </c>
      <c r="G408" s="946">
        <f>VLOOKUP(B408,$O$2:$Q$13,3,0)</f>
        <v>0</v>
      </c>
      <c r="H408" s="947">
        <f t="shared" si="119"/>
        <v>0</v>
      </c>
      <c r="I408" s="947">
        <f t="shared" si="120"/>
        <v>624.58000000000004</v>
      </c>
      <c r="J408" s="1066"/>
      <c r="AA408" s="459">
        <f t="shared" si="99"/>
        <v>0</v>
      </c>
      <c r="AB408" s="459">
        <f t="shared" si="99"/>
        <v>0</v>
      </c>
    </row>
    <row r="409" spans="1:28" s="344" customFormat="1" ht="26.25" customHeight="1">
      <c r="A409" s="1066" t="s">
        <v>2150</v>
      </c>
      <c r="B409" s="995" t="s">
        <v>573</v>
      </c>
      <c r="C409" s="1058">
        <v>20</v>
      </c>
      <c r="D409" s="1066" t="s">
        <v>85</v>
      </c>
      <c r="E409" s="946">
        <v>33</v>
      </c>
      <c r="F409" s="946">
        <f t="shared" si="118"/>
        <v>660</v>
      </c>
      <c r="G409" s="946">
        <f>VLOOKUP(B409,$O$2:$Q$13,3,0)</f>
        <v>0</v>
      </c>
      <c r="H409" s="947">
        <f t="shared" si="119"/>
        <v>0</v>
      </c>
      <c r="I409" s="947">
        <f t="shared" si="120"/>
        <v>660</v>
      </c>
      <c r="J409" s="1066"/>
      <c r="AA409" s="459">
        <f t="shared" si="99"/>
        <v>0</v>
      </c>
      <c r="AB409" s="459">
        <f t="shared" si="99"/>
        <v>0</v>
      </c>
    </row>
    <row r="410" spans="1:28" s="344" customFormat="1" ht="26.25" customHeight="1">
      <c r="A410" s="1089"/>
      <c r="B410" s="563" t="s">
        <v>1336</v>
      </c>
      <c r="C410" s="1090"/>
      <c r="D410" s="1089"/>
      <c r="E410" s="1091"/>
      <c r="F410" s="1091"/>
      <c r="G410" s="1091"/>
      <c r="H410" s="1092"/>
      <c r="I410" s="1093">
        <f>SUM(I402:I409)</f>
        <v>82139.78</v>
      </c>
      <c r="J410" s="1089"/>
      <c r="AA410" s="459"/>
      <c r="AB410" s="459"/>
    </row>
    <row r="411" spans="1:28" s="344" customFormat="1" ht="26.25" customHeight="1">
      <c r="A411" s="1084" t="s">
        <v>1147</v>
      </c>
      <c r="B411" s="1085" t="s">
        <v>1018</v>
      </c>
      <c r="C411" s="1086"/>
      <c r="D411" s="1084"/>
      <c r="E411" s="1087"/>
      <c r="F411" s="1088"/>
      <c r="G411" s="1087"/>
      <c r="H411" s="1088"/>
      <c r="I411" s="1088"/>
      <c r="J411" s="1084"/>
      <c r="AA411" s="459">
        <f t="shared" si="99"/>
        <v>0</v>
      </c>
      <c r="AB411" s="459">
        <f t="shared" si="99"/>
        <v>0</v>
      </c>
    </row>
    <row r="412" spans="1:28" s="344" customFormat="1" ht="26.25" customHeight="1">
      <c r="A412" s="1066" t="s">
        <v>2151</v>
      </c>
      <c r="B412" s="995" t="s">
        <v>567</v>
      </c>
      <c r="C412" s="1058">
        <v>6</v>
      </c>
      <c r="D412" s="1066" t="s">
        <v>545</v>
      </c>
      <c r="E412" s="946">
        <v>2420</v>
      </c>
      <c r="F412" s="946">
        <f t="shared" ref="F412:F419" si="121">E412*C412</f>
        <v>14520</v>
      </c>
      <c r="G412" s="946">
        <v>306</v>
      </c>
      <c r="H412" s="947">
        <f t="shared" ref="H412:H419" si="122">G412*C412</f>
        <v>1836</v>
      </c>
      <c r="I412" s="947">
        <f t="shared" ref="I412:I419" si="123">H412+F412</f>
        <v>16356</v>
      </c>
      <c r="J412" s="1066"/>
      <c r="AA412" s="459">
        <f t="shared" si="99"/>
        <v>0</v>
      </c>
      <c r="AB412" s="459">
        <f t="shared" si="99"/>
        <v>0</v>
      </c>
    </row>
    <row r="413" spans="1:28" s="344" customFormat="1" ht="26.25" customHeight="1">
      <c r="A413" s="1066" t="s">
        <v>2152</v>
      </c>
      <c r="B413" s="995" t="s">
        <v>576</v>
      </c>
      <c r="C413" s="1058">
        <v>101</v>
      </c>
      <c r="D413" s="1066" t="s">
        <v>85</v>
      </c>
      <c r="E413" s="946">
        <v>26.03</v>
      </c>
      <c r="F413" s="946">
        <f t="shared" si="121"/>
        <v>2629.03</v>
      </c>
      <c r="G413" s="946">
        <v>4.0999999999999996</v>
      </c>
      <c r="H413" s="947">
        <f t="shared" si="122"/>
        <v>414.09999999999997</v>
      </c>
      <c r="I413" s="947">
        <f t="shared" si="123"/>
        <v>3043.13</v>
      </c>
      <c r="J413" s="1066"/>
      <c r="AA413" s="459">
        <f t="shared" si="99"/>
        <v>0</v>
      </c>
      <c r="AB413" s="459">
        <f t="shared" si="99"/>
        <v>0</v>
      </c>
    </row>
    <row r="414" spans="1:28" s="344" customFormat="1" ht="26.25" customHeight="1">
      <c r="A414" s="1066" t="s">
        <v>2153</v>
      </c>
      <c r="B414" s="995" t="s">
        <v>589</v>
      </c>
      <c r="C414" s="549">
        <v>663</v>
      </c>
      <c r="D414" s="1066" t="s">
        <v>85</v>
      </c>
      <c r="E414" s="946">
        <v>26.16</v>
      </c>
      <c r="F414" s="946">
        <f t="shared" si="121"/>
        <v>17344.080000000002</v>
      </c>
      <c r="G414" s="946">
        <v>2.9</v>
      </c>
      <c r="H414" s="947">
        <f t="shared" si="122"/>
        <v>1922.7</v>
      </c>
      <c r="I414" s="947">
        <f t="shared" si="123"/>
        <v>19266.780000000002</v>
      </c>
      <c r="J414" s="1066"/>
      <c r="AA414" s="459">
        <f t="shared" si="99"/>
        <v>0</v>
      </c>
      <c r="AB414" s="459">
        <f t="shared" si="99"/>
        <v>0</v>
      </c>
    </row>
    <row r="415" spans="1:28" s="344" customFormat="1" ht="26.25" customHeight="1">
      <c r="A415" s="1066" t="s">
        <v>2154</v>
      </c>
      <c r="B415" s="995" t="s">
        <v>570</v>
      </c>
      <c r="C415" s="549">
        <f>C416*0.025*35.31</f>
        <v>34.427250000000008</v>
      </c>
      <c r="D415" s="1066" t="s">
        <v>598</v>
      </c>
      <c r="E415" s="946">
        <f>VLOOKUP(B415,$O$2:$Q$13,2,0)</f>
        <v>400</v>
      </c>
      <c r="F415" s="946">
        <f t="shared" si="121"/>
        <v>13770.900000000003</v>
      </c>
      <c r="G415" s="946">
        <f t="shared" ref="G415:G419" si="124">VLOOKUP(B415,$O$2:$Q$13,3,0)</f>
        <v>0</v>
      </c>
      <c r="H415" s="947">
        <f t="shared" si="122"/>
        <v>0</v>
      </c>
      <c r="I415" s="947">
        <f t="shared" si="123"/>
        <v>13770.900000000003</v>
      </c>
      <c r="J415" s="1066"/>
      <c r="AA415" s="459">
        <f t="shared" ref="AA415:AB504" si="125">IF($B415=AA$1,$C415,0)</f>
        <v>0</v>
      </c>
      <c r="AB415" s="459">
        <f t="shared" si="125"/>
        <v>0</v>
      </c>
    </row>
    <row r="416" spans="1:28" s="344" customFormat="1" ht="26.25" customHeight="1">
      <c r="A416" s="1066" t="s">
        <v>2155</v>
      </c>
      <c r="B416" s="995" t="s">
        <v>1036</v>
      </c>
      <c r="C416" s="549">
        <v>39</v>
      </c>
      <c r="D416" s="1066" t="s">
        <v>278</v>
      </c>
      <c r="E416" s="946">
        <f>VLOOKUP(B416,$O$2:$Q$13,2,0)</f>
        <v>0</v>
      </c>
      <c r="F416" s="946">
        <f t="shared" si="121"/>
        <v>0</v>
      </c>
      <c r="G416" s="946">
        <f t="shared" si="124"/>
        <v>133</v>
      </c>
      <c r="H416" s="947">
        <f t="shared" si="122"/>
        <v>5187</v>
      </c>
      <c r="I416" s="947">
        <f t="shared" si="123"/>
        <v>5187</v>
      </c>
      <c r="J416" s="1066"/>
      <c r="AA416" s="459">
        <f t="shared" si="125"/>
        <v>39</v>
      </c>
      <c r="AB416" s="459">
        <f t="shared" si="125"/>
        <v>0</v>
      </c>
    </row>
    <row r="417" spans="1:28" s="344" customFormat="1" ht="26.25" customHeight="1">
      <c r="A417" s="1066" t="s">
        <v>2156</v>
      </c>
      <c r="B417" s="995" t="s">
        <v>571</v>
      </c>
      <c r="C417" s="549">
        <v>5</v>
      </c>
      <c r="D417" s="1066" t="s">
        <v>598</v>
      </c>
      <c r="E417" s="946">
        <f>VLOOKUP(B417,$O$2:$Q$13,2,0)</f>
        <v>400</v>
      </c>
      <c r="F417" s="946">
        <f t="shared" si="121"/>
        <v>2000</v>
      </c>
      <c r="G417" s="946">
        <f t="shared" si="124"/>
        <v>0</v>
      </c>
      <c r="H417" s="947">
        <f t="shared" si="122"/>
        <v>0</v>
      </c>
      <c r="I417" s="947">
        <f t="shared" si="123"/>
        <v>2000</v>
      </c>
      <c r="J417" s="1066"/>
      <c r="AA417" s="459">
        <f t="shared" si="125"/>
        <v>0</v>
      </c>
      <c r="AB417" s="459">
        <f t="shared" si="125"/>
        <v>0</v>
      </c>
    </row>
    <row r="418" spans="1:28" s="344" customFormat="1" ht="26.25" customHeight="1">
      <c r="A418" s="1066" t="s">
        <v>2157</v>
      </c>
      <c r="B418" s="995" t="s">
        <v>572</v>
      </c>
      <c r="C418" s="1058">
        <v>8</v>
      </c>
      <c r="D418" s="1066" t="s">
        <v>85</v>
      </c>
      <c r="E418" s="946">
        <f>VLOOKUP(B418,$O$2:$Q$13,2,0)</f>
        <v>56.78</v>
      </c>
      <c r="F418" s="946">
        <f t="shared" si="121"/>
        <v>454.24</v>
      </c>
      <c r="G418" s="946">
        <f t="shared" si="124"/>
        <v>0</v>
      </c>
      <c r="H418" s="947">
        <f t="shared" si="122"/>
        <v>0</v>
      </c>
      <c r="I418" s="947">
        <f t="shared" si="123"/>
        <v>454.24</v>
      </c>
      <c r="J418" s="1066"/>
      <c r="AA418" s="459">
        <f t="shared" si="125"/>
        <v>0</v>
      </c>
      <c r="AB418" s="459">
        <f t="shared" si="125"/>
        <v>0</v>
      </c>
    </row>
    <row r="419" spans="1:28" s="344" customFormat="1" ht="26.25" customHeight="1">
      <c r="A419" s="1066" t="s">
        <v>2158</v>
      </c>
      <c r="B419" s="995" t="s">
        <v>573</v>
      </c>
      <c r="C419" s="1058">
        <v>23</v>
      </c>
      <c r="D419" s="1066" t="s">
        <v>85</v>
      </c>
      <c r="E419" s="946">
        <v>33</v>
      </c>
      <c r="F419" s="946">
        <f t="shared" si="121"/>
        <v>759</v>
      </c>
      <c r="G419" s="946">
        <f t="shared" si="124"/>
        <v>0</v>
      </c>
      <c r="H419" s="947">
        <f t="shared" si="122"/>
        <v>0</v>
      </c>
      <c r="I419" s="947">
        <f t="shared" si="123"/>
        <v>759</v>
      </c>
      <c r="J419" s="1066"/>
      <c r="AA419" s="459">
        <f t="shared" si="125"/>
        <v>0</v>
      </c>
      <c r="AB419" s="459">
        <f t="shared" si="125"/>
        <v>0</v>
      </c>
    </row>
    <row r="420" spans="1:28" s="344" customFormat="1" ht="26.25" customHeight="1">
      <c r="A420" s="1089"/>
      <c r="B420" s="563" t="s">
        <v>1337</v>
      </c>
      <c r="C420" s="1090"/>
      <c r="D420" s="1089"/>
      <c r="E420" s="1091"/>
      <c r="F420" s="1091"/>
      <c r="G420" s="1091"/>
      <c r="H420" s="1092"/>
      <c r="I420" s="1093">
        <f>SUM(I412:I419)</f>
        <v>60837.05</v>
      </c>
      <c r="J420" s="1089"/>
      <c r="AA420" s="459"/>
      <c r="AB420" s="459"/>
    </row>
    <row r="421" spans="1:28" s="344" customFormat="1" ht="26.25" customHeight="1">
      <c r="A421" s="1084" t="s">
        <v>1148</v>
      </c>
      <c r="B421" s="1085" t="s">
        <v>1021</v>
      </c>
      <c r="C421" s="1086"/>
      <c r="D421" s="1084"/>
      <c r="E421" s="1087"/>
      <c r="F421" s="1088"/>
      <c r="G421" s="1087"/>
      <c r="H421" s="1088"/>
      <c r="I421" s="1088"/>
      <c r="J421" s="1084"/>
      <c r="AA421" s="459">
        <f t="shared" si="125"/>
        <v>0</v>
      </c>
      <c r="AB421" s="459">
        <f t="shared" si="125"/>
        <v>0</v>
      </c>
    </row>
    <row r="422" spans="1:28" s="344" customFormat="1" ht="26.25" customHeight="1">
      <c r="A422" s="1066" t="s">
        <v>2159</v>
      </c>
      <c r="B422" s="995" t="s">
        <v>567</v>
      </c>
      <c r="C422" s="1058">
        <v>8</v>
      </c>
      <c r="D422" s="1066" t="s">
        <v>545</v>
      </c>
      <c r="E422" s="946">
        <v>2420</v>
      </c>
      <c r="F422" s="946">
        <f t="shared" ref="F422:F429" si="126">E422*C422</f>
        <v>19360</v>
      </c>
      <c r="G422" s="946">
        <v>306</v>
      </c>
      <c r="H422" s="947">
        <f t="shared" ref="H422:H429" si="127">G422*C422</f>
        <v>2448</v>
      </c>
      <c r="I422" s="947">
        <f t="shared" ref="I422:I429" si="128">H422+F422</f>
        <v>21808</v>
      </c>
      <c r="J422" s="1066"/>
      <c r="AA422" s="459">
        <f t="shared" si="125"/>
        <v>0</v>
      </c>
      <c r="AB422" s="459">
        <f t="shared" si="125"/>
        <v>0</v>
      </c>
    </row>
    <row r="423" spans="1:28" s="344" customFormat="1" ht="26.25" customHeight="1">
      <c r="A423" s="1066" t="s">
        <v>2160</v>
      </c>
      <c r="B423" s="995" t="s">
        <v>568</v>
      </c>
      <c r="C423" s="1058">
        <v>227</v>
      </c>
      <c r="D423" s="1066" t="s">
        <v>85</v>
      </c>
      <c r="E423" s="946">
        <v>25.09</v>
      </c>
      <c r="F423" s="946">
        <f t="shared" si="126"/>
        <v>5695.43</v>
      </c>
      <c r="G423" s="946">
        <v>4.0999999999999996</v>
      </c>
      <c r="H423" s="947">
        <f t="shared" si="127"/>
        <v>930.69999999999993</v>
      </c>
      <c r="I423" s="947">
        <f t="shared" si="128"/>
        <v>6626.13</v>
      </c>
      <c r="J423" s="1066"/>
      <c r="AA423" s="459">
        <f t="shared" si="125"/>
        <v>0</v>
      </c>
      <c r="AB423" s="459">
        <f t="shared" si="125"/>
        <v>0</v>
      </c>
    </row>
    <row r="424" spans="1:28" s="344" customFormat="1" ht="26.25" customHeight="1">
      <c r="A424" s="1066" t="s">
        <v>2161</v>
      </c>
      <c r="B424" s="995" t="s">
        <v>574</v>
      </c>
      <c r="C424" s="549">
        <v>736</v>
      </c>
      <c r="D424" s="1066" t="s">
        <v>85</v>
      </c>
      <c r="E424" s="946">
        <v>26.16</v>
      </c>
      <c r="F424" s="946">
        <f t="shared" si="126"/>
        <v>19253.759999999998</v>
      </c>
      <c r="G424" s="946">
        <v>3.3</v>
      </c>
      <c r="H424" s="947">
        <f t="shared" si="127"/>
        <v>2428.7999999999997</v>
      </c>
      <c r="I424" s="947">
        <f t="shared" si="128"/>
        <v>21682.559999999998</v>
      </c>
      <c r="J424" s="1066"/>
      <c r="AA424" s="459">
        <f t="shared" si="125"/>
        <v>0</v>
      </c>
      <c r="AB424" s="459">
        <f t="shared" si="125"/>
        <v>0</v>
      </c>
    </row>
    <row r="425" spans="1:28" s="344" customFormat="1" ht="26.25" customHeight="1">
      <c r="A425" s="1066" t="s">
        <v>2162</v>
      </c>
      <c r="B425" s="995" t="s">
        <v>570</v>
      </c>
      <c r="C425" s="549">
        <f>C426*0.025*35.31</f>
        <v>64.440750000000008</v>
      </c>
      <c r="D425" s="1066" t="s">
        <v>598</v>
      </c>
      <c r="E425" s="946">
        <f>VLOOKUP(B425,$O$2:$Q$13,2,0)</f>
        <v>400</v>
      </c>
      <c r="F425" s="946">
        <f t="shared" si="126"/>
        <v>25776.300000000003</v>
      </c>
      <c r="G425" s="946">
        <f>VLOOKUP(B425,$O$2:$Q$13,3,0)</f>
        <v>0</v>
      </c>
      <c r="H425" s="947">
        <f t="shared" si="127"/>
        <v>0</v>
      </c>
      <c r="I425" s="947">
        <f t="shared" si="128"/>
        <v>25776.300000000003</v>
      </c>
      <c r="J425" s="1066"/>
      <c r="AA425" s="459">
        <f t="shared" si="125"/>
        <v>0</v>
      </c>
      <c r="AB425" s="459">
        <f t="shared" si="125"/>
        <v>0</v>
      </c>
    </row>
    <row r="426" spans="1:28" s="344" customFormat="1" ht="26.25" customHeight="1">
      <c r="A426" s="1066" t="s">
        <v>2163</v>
      </c>
      <c r="B426" s="995" t="s">
        <v>1036</v>
      </c>
      <c r="C426" s="549">
        <v>73</v>
      </c>
      <c r="D426" s="1066" t="s">
        <v>278</v>
      </c>
      <c r="E426" s="946">
        <f>VLOOKUP(B426,$O$2:$Q$13,2,0)</f>
        <v>0</v>
      </c>
      <c r="F426" s="946">
        <f t="shared" si="126"/>
        <v>0</v>
      </c>
      <c r="G426" s="946">
        <f>VLOOKUP(B426,$O$2:$Q$13,3,0)</f>
        <v>133</v>
      </c>
      <c r="H426" s="947">
        <f t="shared" si="127"/>
        <v>9709</v>
      </c>
      <c r="I426" s="947">
        <f t="shared" si="128"/>
        <v>9709</v>
      </c>
      <c r="J426" s="1066"/>
      <c r="AA426" s="459">
        <f t="shared" si="125"/>
        <v>73</v>
      </c>
      <c r="AB426" s="459">
        <f t="shared" si="125"/>
        <v>0</v>
      </c>
    </row>
    <row r="427" spans="1:28" s="344" customFormat="1" ht="26.25" customHeight="1">
      <c r="A427" s="1066" t="s">
        <v>2164</v>
      </c>
      <c r="B427" s="995" t="s">
        <v>571</v>
      </c>
      <c r="C427" s="549">
        <v>6</v>
      </c>
      <c r="D427" s="1066" t="s">
        <v>598</v>
      </c>
      <c r="E427" s="946">
        <f>VLOOKUP(B427,$O$2:$Q$13,2,0)</f>
        <v>400</v>
      </c>
      <c r="F427" s="946">
        <f t="shared" si="126"/>
        <v>2400</v>
      </c>
      <c r="G427" s="946">
        <f>VLOOKUP(B427,$O$2:$Q$13,3,0)</f>
        <v>0</v>
      </c>
      <c r="H427" s="947">
        <f t="shared" si="127"/>
        <v>0</v>
      </c>
      <c r="I427" s="947">
        <f t="shared" si="128"/>
        <v>2400</v>
      </c>
      <c r="J427" s="1066"/>
      <c r="AA427" s="459">
        <f t="shared" si="125"/>
        <v>0</v>
      </c>
      <c r="AB427" s="459">
        <f t="shared" si="125"/>
        <v>0</v>
      </c>
    </row>
    <row r="428" spans="1:28" s="344" customFormat="1" ht="26.25" customHeight="1">
      <c r="A428" s="1066" t="s">
        <v>2165</v>
      </c>
      <c r="B428" s="995" t="s">
        <v>572</v>
      </c>
      <c r="C428" s="1058">
        <v>10</v>
      </c>
      <c r="D428" s="1066" t="s">
        <v>85</v>
      </c>
      <c r="E428" s="946">
        <f>VLOOKUP(B428,$O$2:$Q$13,2,0)</f>
        <v>56.78</v>
      </c>
      <c r="F428" s="946">
        <f t="shared" si="126"/>
        <v>567.79999999999995</v>
      </c>
      <c r="G428" s="946">
        <f>VLOOKUP(B428,$O$2:$Q$13,3,0)</f>
        <v>0</v>
      </c>
      <c r="H428" s="947">
        <f t="shared" si="127"/>
        <v>0</v>
      </c>
      <c r="I428" s="947">
        <f t="shared" si="128"/>
        <v>567.79999999999995</v>
      </c>
      <c r="J428" s="1066"/>
      <c r="AA428" s="459">
        <f t="shared" si="125"/>
        <v>0</v>
      </c>
      <c r="AB428" s="459">
        <f t="shared" si="125"/>
        <v>0</v>
      </c>
    </row>
    <row r="429" spans="1:28" s="344" customFormat="1" ht="26.25" customHeight="1">
      <c r="A429" s="1066" t="s">
        <v>2166</v>
      </c>
      <c r="B429" s="995" t="s">
        <v>573</v>
      </c>
      <c r="C429" s="1058">
        <v>29</v>
      </c>
      <c r="D429" s="1066" t="s">
        <v>85</v>
      </c>
      <c r="E429" s="946">
        <v>33</v>
      </c>
      <c r="F429" s="946">
        <f t="shared" si="126"/>
        <v>957</v>
      </c>
      <c r="G429" s="946">
        <f>VLOOKUP(B429,$O$2:$Q$13,3,0)</f>
        <v>0</v>
      </c>
      <c r="H429" s="947">
        <f t="shared" si="127"/>
        <v>0</v>
      </c>
      <c r="I429" s="947">
        <f t="shared" si="128"/>
        <v>957</v>
      </c>
      <c r="J429" s="1066"/>
      <c r="AA429" s="459">
        <f t="shared" si="125"/>
        <v>0</v>
      </c>
      <c r="AB429" s="459">
        <f t="shared" si="125"/>
        <v>0</v>
      </c>
    </row>
    <row r="430" spans="1:28" s="344" customFormat="1" ht="26.25" customHeight="1">
      <c r="A430" s="1089"/>
      <c r="B430" s="563" t="s">
        <v>1345</v>
      </c>
      <c r="C430" s="1090"/>
      <c r="D430" s="1089"/>
      <c r="E430" s="1091"/>
      <c r="F430" s="1091"/>
      <c r="G430" s="1091"/>
      <c r="H430" s="1092"/>
      <c r="I430" s="1093">
        <f>SUM(I422:I429)</f>
        <v>89526.790000000008</v>
      </c>
      <c r="J430" s="1089"/>
      <c r="AA430" s="459"/>
      <c r="AB430" s="459"/>
    </row>
    <row r="431" spans="1:28" s="344" customFormat="1" ht="26.25" customHeight="1">
      <c r="A431" s="1084" t="s">
        <v>1149</v>
      </c>
      <c r="B431" s="1085" t="s">
        <v>1022</v>
      </c>
      <c r="C431" s="1086"/>
      <c r="D431" s="1084"/>
      <c r="E431" s="1087"/>
      <c r="F431" s="1088"/>
      <c r="G431" s="1087"/>
      <c r="H431" s="1088"/>
      <c r="I431" s="1088"/>
      <c r="J431" s="1084"/>
      <c r="AA431" s="459">
        <f t="shared" si="125"/>
        <v>0</v>
      </c>
      <c r="AB431" s="459">
        <f t="shared" si="125"/>
        <v>0</v>
      </c>
    </row>
    <row r="432" spans="1:28" s="344" customFormat="1" ht="26.25" customHeight="1">
      <c r="A432" s="1066" t="s">
        <v>2167</v>
      </c>
      <c r="B432" s="995" t="s">
        <v>567</v>
      </c>
      <c r="C432" s="1058">
        <v>6</v>
      </c>
      <c r="D432" s="1066" t="s">
        <v>545</v>
      </c>
      <c r="E432" s="946">
        <v>2420</v>
      </c>
      <c r="F432" s="946">
        <f t="shared" ref="F432:F439" si="129">E432*C432</f>
        <v>14520</v>
      </c>
      <c r="G432" s="946">
        <v>306</v>
      </c>
      <c r="H432" s="947">
        <f t="shared" ref="H432:H439" si="130">G432*C432</f>
        <v>1836</v>
      </c>
      <c r="I432" s="947">
        <f t="shared" ref="I432:I439" si="131">H432+F432</f>
        <v>16356</v>
      </c>
      <c r="J432" s="1066"/>
      <c r="AA432" s="459">
        <f t="shared" si="125"/>
        <v>0</v>
      </c>
      <c r="AB432" s="459">
        <f t="shared" si="125"/>
        <v>0</v>
      </c>
    </row>
    <row r="433" spans="1:28" s="344" customFormat="1" ht="26.25" customHeight="1">
      <c r="A433" s="1066" t="s">
        <v>2168</v>
      </c>
      <c r="B433" s="995" t="s">
        <v>568</v>
      </c>
      <c r="C433" s="1058">
        <v>224</v>
      </c>
      <c r="D433" s="1066" t="s">
        <v>85</v>
      </c>
      <c r="E433" s="946">
        <v>25.09</v>
      </c>
      <c r="F433" s="946">
        <f t="shared" si="129"/>
        <v>5620.16</v>
      </c>
      <c r="G433" s="946">
        <v>4.0999999999999996</v>
      </c>
      <c r="H433" s="947">
        <f t="shared" si="130"/>
        <v>918.39999999999986</v>
      </c>
      <c r="I433" s="947">
        <f t="shared" si="131"/>
        <v>6538.5599999999995</v>
      </c>
      <c r="J433" s="1066"/>
      <c r="AA433" s="459">
        <f t="shared" si="125"/>
        <v>0</v>
      </c>
      <c r="AB433" s="459">
        <f t="shared" si="125"/>
        <v>0</v>
      </c>
    </row>
    <row r="434" spans="1:28" s="344" customFormat="1" ht="26.25" customHeight="1">
      <c r="A434" s="1066" t="s">
        <v>2169</v>
      </c>
      <c r="B434" s="995" t="s">
        <v>589</v>
      </c>
      <c r="C434" s="549">
        <v>722</v>
      </c>
      <c r="D434" s="1066" t="s">
        <v>85</v>
      </c>
      <c r="E434" s="946">
        <v>26.16</v>
      </c>
      <c r="F434" s="946">
        <f t="shared" si="129"/>
        <v>18887.52</v>
      </c>
      <c r="G434" s="946">
        <v>2.9</v>
      </c>
      <c r="H434" s="947">
        <f t="shared" si="130"/>
        <v>2093.7999999999997</v>
      </c>
      <c r="I434" s="947">
        <f t="shared" si="131"/>
        <v>20981.32</v>
      </c>
      <c r="J434" s="1066"/>
      <c r="AA434" s="459">
        <f t="shared" si="125"/>
        <v>0</v>
      </c>
      <c r="AB434" s="459">
        <f t="shared" si="125"/>
        <v>0</v>
      </c>
    </row>
    <row r="435" spans="1:28" s="344" customFormat="1" ht="26.25" customHeight="1">
      <c r="A435" s="1066" t="s">
        <v>2170</v>
      </c>
      <c r="B435" s="995" t="s">
        <v>570</v>
      </c>
      <c r="C435" s="549">
        <f>C436*0.025*35.31</f>
        <v>47.668500000000009</v>
      </c>
      <c r="D435" s="1066" t="s">
        <v>598</v>
      </c>
      <c r="E435" s="946">
        <f>VLOOKUP(B435,$O$2:$Q$13,2,0)</f>
        <v>400</v>
      </c>
      <c r="F435" s="946">
        <f t="shared" si="129"/>
        <v>19067.400000000005</v>
      </c>
      <c r="G435" s="946">
        <f>VLOOKUP(B435,$O$2:$Q$13,3,0)</f>
        <v>0</v>
      </c>
      <c r="H435" s="947">
        <f t="shared" si="130"/>
        <v>0</v>
      </c>
      <c r="I435" s="947">
        <f t="shared" si="131"/>
        <v>19067.400000000005</v>
      </c>
      <c r="J435" s="1066"/>
      <c r="AA435" s="459">
        <f t="shared" si="125"/>
        <v>0</v>
      </c>
      <c r="AB435" s="459">
        <f t="shared" si="125"/>
        <v>0</v>
      </c>
    </row>
    <row r="436" spans="1:28" s="344" customFormat="1" ht="26.25" customHeight="1">
      <c r="A436" s="1066" t="s">
        <v>2171</v>
      </c>
      <c r="B436" s="995" t="s">
        <v>1036</v>
      </c>
      <c r="C436" s="549">
        <v>54</v>
      </c>
      <c r="D436" s="1066" t="s">
        <v>278</v>
      </c>
      <c r="E436" s="946">
        <f>VLOOKUP(B436,$O$2:$Q$13,2,0)</f>
        <v>0</v>
      </c>
      <c r="F436" s="946">
        <f t="shared" si="129"/>
        <v>0</v>
      </c>
      <c r="G436" s="946">
        <f>VLOOKUP(B436,$O$2:$Q$13,3,0)</f>
        <v>133</v>
      </c>
      <c r="H436" s="947">
        <f t="shared" si="130"/>
        <v>7182</v>
      </c>
      <c r="I436" s="947">
        <f t="shared" si="131"/>
        <v>7182</v>
      </c>
      <c r="J436" s="1066"/>
      <c r="AA436" s="459">
        <f t="shared" si="125"/>
        <v>54</v>
      </c>
      <c r="AB436" s="459">
        <f t="shared" si="125"/>
        <v>0</v>
      </c>
    </row>
    <row r="437" spans="1:28" s="344" customFormat="1" ht="25.9" customHeight="1">
      <c r="A437" s="1066" t="s">
        <v>2172</v>
      </c>
      <c r="B437" s="995" t="s">
        <v>571</v>
      </c>
      <c r="C437" s="549">
        <v>5</v>
      </c>
      <c r="D437" s="1066" t="s">
        <v>598</v>
      </c>
      <c r="E437" s="946">
        <f>VLOOKUP(B437,$O$2:$Q$13,2,0)</f>
        <v>400</v>
      </c>
      <c r="F437" s="946">
        <f t="shared" si="129"/>
        <v>2000</v>
      </c>
      <c r="G437" s="946">
        <f>VLOOKUP(B437,$O$2:$Q$13,3,0)</f>
        <v>0</v>
      </c>
      <c r="H437" s="947">
        <f t="shared" si="130"/>
        <v>0</v>
      </c>
      <c r="I437" s="947">
        <f t="shared" si="131"/>
        <v>2000</v>
      </c>
      <c r="J437" s="1066"/>
      <c r="AA437" s="459">
        <f t="shared" si="125"/>
        <v>0</v>
      </c>
      <c r="AB437" s="459">
        <f t="shared" si="125"/>
        <v>0</v>
      </c>
    </row>
    <row r="438" spans="1:28" s="344" customFormat="1" ht="26.25" customHeight="1">
      <c r="A438" s="1066" t="s">
        <v>2173</v>
      </c>
      <c r="B438" s="995" t="s">
        <v>572</v>
      </c>
      <c r="C438" s="1058">
        <v>8</v>
      </c>
      <c r="D438" s="1066" t="s">
        <v>85</v>
      </c>
      <c r="E438" s="946">
        <f>VLOOKUP(B438,$O$2:$Q$13,2,0)</f>
        <v>56.78</v>
      </c>
      <c r="F438" s="946">
        <f t="shared" si="129"/>
        <v>454.24</v>
      </c>
      <c r="G438" s="946">
        <f>VLOOKUP(B438,$O$2:$Q$13,3,0)</f>
        <v>0</v>
      </c>
      <c r="H438" s="947">
        <f t="shared" si="130"/>
        <v>0</v>
      </c>
      <c r="I438" s="947">
        <f t="shared" si="131"/>
        <v>454.24</v>
      </c>
      <c r="J438" s="1066"/>
      <c r="AA438" s="459">
        <f t="shared" si="125"/>
        <v>0</v>
      </c>
      <c r="AB438" s="459">
        <f t="shared" si="125"/>
        <v>0</v>
      </c>
    </row>
    <row r="439" spans="1:28" s="344" customFormat="1" ht="26.25" customHeight="1">
      <c r="A439" s="1066" t="s">
        <v>2174</v>
      </c>
      <c r="B439" s="995" t="s">
        <v>573</v>
      </c>
      <c r="C439" s="1058">
        <v>29</v>
      </c>
      <c r="D439" s="1066" t="s">
        <v>85</v>
      </c>
      <c r="E439" s="946">
        <v>33</v>
      </c>
      <c r="F439" s="946">
        <f t="shared" si="129"/>
        <v>957</v>
      </c>
      <c r="G439" s="946">
        <f>VLOOKUP(B439,$O$2:$Q$13,3,0)</f>
        <v>0</v>
      </c>
      <c r="H439" s="947">
        <f t="shared" si="130"/>
        <v>0</v>
      </c>
      <c r="I439" s="947">
        <f t="shared" si="131"/>
        <v>957</v>
      </c>
      <c r="J439" s="1066"/>
      <c r="AA439" s="459">
        <f t="shared" si="125"/>
        <v>0</v>
      </c>
      <c r="AB439" s="459">
        <f t="shared" si="125"/>
        <v>0</v>
      </c>
    </row>
    <row r="440" spans="1:28" s="344" customFormat="1" ht="26.25" customHeight="1">
      <c r="A440" s="1089"/>
      <c r="B440" s="563" t="s">
        <v>1346</v>
      </c>
      <c r="C440" s="1090"/>
      <c r="D440" s="1089"/>
      <c r="E440" s="1091"/>
      <c r="F440" s="1091"/>
      <c r="G440" s="1091"/>
      <c r="H440" s="1092"/>
      <c r="I440" s="1093">
        <f>SUM(I432:I439)</f>
        <v>73536.52</v>
      </c>
      <c r="J440" s="1089"/>
      <c r="AA440" s="459"/>
      <c r="AB440" s="459"/>
    </row>
    <row r="441" spans="1:28" s="344" customFormat="1" ht="26.25" customHeight="1">
      <c r="A441" s="1084" t="s">
        <v>1150</v>
      </c>
      <c r="B441" s="1085" t="s">
        <v>1023</v>
      </c>
      <c r="C441" s="1086"/>
      <c r="D441" s="1084"/>
      <c r="E441" s="1087"/>
      <c r="F441" s="1088"/>
      <c r="G441" s="1087"/>
      <c r="H441" s="1088"/>
      <c r="I441" s="1088"/>
      <c r="J441" s="1084"/>
      <c r="AA441" s="459">
        <f t="shared" si="125"/>
        <v>0</v>
      </c>
      <c r="AB441" s="459">
        <f t="shared" si="125"/>
        <v>0</v>
      </c>
    </row>
    <row r="442" spans="1:28" s="344" customFormat="1" ht="26.25" customHeight="1">
      <c r="A442" s="1066" t="s">
        <v>2175</v>
      </c>
      <c r="B442" s="995" t="s">
        <v>567</v>
      </c>
      <c r="C442" s="1058">
        <v>4</v>
      </c>
      <c r="D442" s="1066" t="s">
        <v>545</v>
      </c>
      <c r="E442" s="946">
        <v>2420</v>
      </c>
      <c r="F442" s="946">
        <f t="shared" ref="F442:F449" si="132">E442*C442</f>
        <v>9680</v>
      </c>
      <c r="G442" s="946">
        <v>306</v>
      </c>
      <c r="H442" s="947">
        <f t="shared" ref="H442:H449" si="133">G442*C442</f>
        <v>1224</v>
      </c>
      <c r="I442" s="947">
        <f t="shared" ref="I442:I449" si="134">H442+F442</f>
        <v>10904</v>
      </c>
      <c r="J442" s="1066"/>
      <c r="AA442" s="459">
        <f t="shared" si="125"/>
        <v>0</v>
      </c>
      <c r="AB442" s="459">
        <f t="shared" si="125"/>
        <v>0</v>
      </c>
    </row>
    <row r="443" spans="1:28" s="344" customFormat="1" ht="26.25" customHeight="1">
      <c r="A443" s="1066" t="s">
        <v>2176</v>
      </c>
      <c r="B443" s="995" t="s">
        <v>576</v>
      </c>
      <c r="C443" s="1058">
        <v>97</v>
      </c>
      <c r="D443" s="1066" t="s">
        <v>85</v>
      </c>
      <c r="E443" s="946">
        <v>26.03</v>
      </c>
      <c r="F443" s="946">
        <f t="shared" si="132"/>
        <v>2524.9100000000003</v>
      </c>
      <c r="G443" s="946">
        <v>4.0999999999999996</v>
      </c>
      <c r="H443" s="947">
        <f t="shared" si="133"/>
        <v>397.7</v>
      </c>
      <c r="I443" s="947">
        <f t="shared" si="134"/>
        <v>2922.61</v>
      </c>
      <c r="J443" s="1066"/>
      <c r="AA443" s="459">
        <f t="shared" si="125"/>
        <v>0</v>
      </c>
      <c r="AB443" s="459">
        <f t="shared" si="125"/>
        <v>0</v>
      </c>
    </row>
    <row r="444" spans="1:28" s="344" customFormat="1" ht="26.25" customHeight="1">
      <c r="A444" s="1066" t="s">
        <v>2177</v>
      </c>
      <c r="B444" s="995" t="s">
        <v>569</v>
      </c>
      <c r="C444" s="549">
        <v>267</v>
      </c>
      <c r="D444" s="1066" t="s">
        <v>85</v>
      </c>
      <c r="E444" s="946">
        <v>26.36</v>
      </c>
      <c r="F444" s="946">
        <f t="shared" si="132"/>
        <v>7038.12</v>
      </c>
      <c r="G444" s="946">
        <v>3.3</v>
      </c>
      <c r="H444" s="947">
        <f t="shared" si="133"/>
        <v>881.09999999999991</v>
      </c>
      <c r="I444" s="947">
        <f t="shared" si="134"/>
        <v>7919.2199999999993</v>
      </c>
      <c r="J444" s="1066"/>
      <c r="AA444" s="459">
        <f t="shared" si="125"/>
        <v>0</v>
      </c>
      <c r="AB444" s="459">
        <f t="shared" si="125"/>
        <v>0</v>
      </c>
    </row>
    <row r="445" spans="1:28" s="344" customFormat="1" ht="26.25" customHeight="1">
      <c r="A445" s="1066" t="s">
        <v>2178</v>
      </c>
      <c r="B445" s="995" t="s">
        <v>570</v>
      </c>
      <c r="C445" s="549">
        <f>C446*0.025*35.31</f>
        <v>45.903000000000006</v>
      </c>
      <c r="D445" s="1066" t="s">
        <v>598</v>
      </c>
      <c r="E445" s="946">
        <f>VLOOKUP(B445,$O$2:$Q$13,2,0)</f>
        <v>400</v>
      </c>
      <c r="F445" s="946">
        <f t="shared" si="132"/>
        <v>18361.2</v>
      </c>
      <c r="G445" s="946">
        <f>VLOOKUP(B445,$O$2:$Q$13,3,0)</f>
        <v>0</v>
      </c>
      <c r="H445" s="947">
        <f t="shared" si="133"/>
        <v>0</v>
      </c>
      <c r="I445" s="947">
        <f t="shared" si="134"/>
        <v>18361.2</v>
      </c>
      <c r="J445" s="1066"/>
      <c r="AA445" s="459">
        <f t="shared" si="125"/>
        <v>0</v>
      </c>
      <c r="AB445" s="459">
        <f t="shared" si="125"/>
        <v>0</v>
      </c>
    </row>
    <row r="446" spans="1:28" s="344" customFormat="1" ht="26.25" customHeight="1">
      <c r="A446" s="1066" t="s">
        <v>2179</v>
      </c>
      <c r="B446" s="995" t="s">
        <v>1036</v>
      </c>
      <c r="C446" s="549">
        <v>52</v>
      </c>
      <c r="D446" s="1066" t="s">
        <v>278</v>
      </c>
      <c r="E446" s="946">
        <f>VLOOKUP(B446,$O$2:$Q$13,2,0)</f>
        <v>0</v>
      </c>
      <c r="F446" s="946">
        <f t="shared" si="132"/>
        <v>0</v>
      </c>
      <c r="G446" s="946">
        <f>VLOOKUP(B446,$O$2:$Q$13,3,0)</f>
        <v>133</v>
      </c>
      <c r="H446" s="947">
        <f t="shared" si="133"/>
        <v>6916</v>
      </c>
      <c r="I446" s="947">
        <f t="shared" si="134"/>
        <v>6916</v>
      </c>
      <c r="J446" s="1066"/>
      <c r="AA446" s="459">
        <f t="shared" si="125"/>
        <v>52</v>
      </c>
      <c r="AB446" s="459">
        <f t="shared" si="125"/>
        <v>0</v>
      </c>
    </row>
    <row r="447" spans="1:28" s="344" customFormat="1" ht="26.25" customHeight="1">
      <c r="A447" s="1066" t="s">
        <v>2180</v>
      </c>
      <c r="B447" s="995" t="s">
        <v>571</v>
      </c>
      <c r="C447" s="549">
        <v>4</v>
      </c>
      <c r="D447" s="1066" t="s">
        <v>598</v>
      </c>
      <c r="E447" s="946">
        <f>VLOOKUP(B447,$O$2:$Q$13,2,0)</f>
        <v>400</v>
      </c>
      <c r="F447" s="946">
        <f t="shared" si="132"/>
        <v>1600</v>
      </c>
      <c r="G447" s="946">
        <f>VLOOKUP(B447,$O$2:$Q$13,3,0)</f>
        <v>0</v>
      </c>
      <c r="H447" s="947">
        <f t="shared" si="133"/>
        <v>0</v>
      </c>
      <c r="I447" s="947">
        <f t="shared" si="134"/>
        <v>1600</v>
      </c>
      <c r="J447" s="1066"/>
      <c r="AA447" s="459">
        <f t="shared" si="125"/>
        <v>0</v>
      </c>
      <c r="AB447" s="459">
        <f t="shared" si="125"/>
        <v>0</v>
      </c>
    </row>
    <row r="448" spans="1:28" s="344" customFormat="1" ht="26.25" customHeight="1">
      <c r="A448" s="1066" t="s">
        <v>2181</v>
      </c>
      <c r="B448" s="995" t="s">
        <v>572</v>
      </c>
      <c r="C448" s="1058">
        <v>7</v>
      </c>
      <c r="D448" s="1066" t="s">
        <v>85</v>
      </c>
      <c r="E448" s="946">
        <f>VLOOKUP(B448,$O$2:$Q$13,2,0)</f>
        <v>56.78</v>
      </c>
      <c r="F448" s="946">
        <f t="shared" si="132"/>
        <v>397.46000000000004</v>
      </c>
      <c r="G448" s="946">
        <f>VLOOKUP(B448,$O$2:$Q$13,3,0)</f>
        <v>0</v>
      </c>
      <c r="H448" s="947">
        <f t="shared" si="133"/>
        <v>0</v>
      </c>
      <c r="I448" s="947">
        <f t="shared" si="134"/>
        <v>397.46000000000004</v>
      </c>
      <c r="J448" s="1066"/>
      <c r="AA448" s="459">
        <f t="shared" si="125"/>
        <v>0</v>
      </c>
      <c r="AB448" s="459">
        <f t="shared" si="125"/>
        <v>0</v>
      </c>
    </row>
    <row r="449" spans="1:28" s="344" customFormat="1" ht="26.25" customHeight="1">
      <c r="A449" s="1066" t="s">
        <v>2182</v>
      </c>
      <c r="B449" s="995" t="s">
        <v>573</v>
      </c>
      <c r="C449" s="1058">
        <v>11</v>
      </c>
      <c r="D449" s="1066" t="s">
        <v>85</v>
      </c>
      <c r="E449" s="946">
        <v>33</v>
      </c>
      <c r="F449" s="946">
        <f t="shared" si="132"/>
        <v>363</v>
      </c>
      <c r="G449" s="946">
        <f>VLOOKUP(B449,$O$2:$Q$13,3,0)</f>
        <v>0</v>
      </c>
      <c r="H449" s="947">
        <f t="shared" si="133"/>
        <v>0</v>
      </c>
      <c r="I449" s="947">
        <f t="shared" si="134"/>
        <v>363</v>
      </c>
      <c r="J449" s="1066"/>
      <c r="AA449" s="459">
        <f t="shared" si="125"/>
        <v>0</v>
      </c>
      <c r="AB449" s="459">
        <f t="shared" si="125"/>
        <v>0</v>
      </c>
    </row>
    <row r="450" spans="1:28" s="344" customFormat="1" ht="26.25" customHeight="1">
      <c r="A450" s="1089"/>
      <c r="B450" s="563" t="s">
        <v>1347</v>
      </c>
      <c r="C450" s="1090"/>
      <c r="D450" s="1089"/>
      <c r="E450" s="1091"/>
      <c r="F450" s="1091"/>
      <c r="G450" s="1091"/>
      <c r="H450" s="1092"/>
      <c r="I450" s="1093">
        <f>SUM(I442:I449)</f>
        <v>49383.49</v>
      </c>
      <c r="J450" s="1089"/>
      <c r="AA450" s="459"/>
      <c r="AB450" s="459"/>
    </row>
    <row r="451" spans="1:28" s="344" customFormat="1" ht="26.25" customHeight="1">
      <c r="A451" s="1072"/>
      <c r="B451" s="551" t="s">
        <v>1277</v>
      </c>
      <c r="C451" s="1071"/>
      <c r="D451" s="1072"/>
      <c r="E451" s="1094"/>
      <c r="F451" s="1094"/>
      <c r="G451" s="1094"/>
      <c r="H451" s="1081"/>
      <c r="I451" s="1095">
        <f>I370+I380+I390+I400+I410+I420+I430+I440+I450</f>
        <v>664842.66999999993</v>
      </c>
      <c r="J451" s="1072"/>
      <c r="AA451" s="459"/>
      <c r="AB451" s="459"/>
    </row>
    <row r="452" spans="1:28" s="344" customFormat="1" ht="26.25" customHeight="1">
      <c r="A452" s="1051">
        <v>2.9</v>
      </c>
      <c r="B452" s="1096" t="s">
        <v>590</v>
      </c>
      <c r="C452" s="1053"/>
      <c r="D452" s="1054"/>
      <c r="E452" s="1055"/>
      <c r="F452" s="1056"/>
      <c r="G452" s="994"/>
      <c r="H452" s="1056"/>
      <c r="I452" s="1056"/>
      <c r="J452" s="1057"/>
      <c r="AA452" s="459">
        <f t="shared" si="125"/>
        <v>0</v>
      </c>
      <c r="AB452" s="459">
        <f t="shared" si="125"/>
        <v>0</v>
      </c>
    </row>
    <row r="453" spans="1:28" s="344" customFormat="1" ht="26.25" customHeight="1">
      <c r="A453" s="1084" t="s">
        <v>1151</v>
      </c>
      <c r="B453" s="1085" t="s">
        <v>581</v>
      </c>
      <c r="C453" s="1086"/>
      <c r="D453" s="1084"/>
      <c r="E453" s="1087"/>
      <c r="F453" s="1088"/>
      <c r="G453" s="1087"/>
      <c r="H453" s="1088"/>
      <c r="I453" s="1088"/>
      <c r="J453" s="1084"/>
      <c r="AA453" s="459">
        <f t="shared" si="125"/>
        <v>0</v>
      </c>
      <c r="AB453" s="459">
        <f t="shared" si="125"/>
        <v>0</v>
      </c>
    </row>
    <row r="454" spans="1:28" s="344" customFormat="1" ht="26.25" customHeight="1">
      <c r="A454" s="1066" t="s">
        <v>2211</v>
      </c>
      <c r="B454" s="995" t="s">
        <v>567</v>
      </c>
      <c r="C454" s="1058">
        <v>32</v>
      </c>
      <c r="D454" s="1066" t="s">
        <v>545</v>
      </c>
      <c r="E454" s="946">
        <v>2420</v>
      </c>
      <c r="F454" s="946">
        <f t="shared" ref="F454:F459" si="135">E454*C454</f>
        <v>77440</v>
      </c>
      <c r="G454" s="946">
        <v>306</v>
      </c>
      <c r="H454" s="947">
        <f t="shared" ref="H454:H459" si="136">G454*C454</f>
        <v>9792</v>
      </c>
      <c r="I454" s="947">
        <f t="shared" ref="I454:I459" si="137">H454+F454</f>
        <v>87232</v>
      </c>
      <c r="J454" s="1066"/>
      <c r="AA454" s="459">
        <f t="shared" si="125"/>
        <v>0</v>
      </c>
      <c r="AB454" s="459">
        <f t="shared" si="125"/>
        <v>0</v>
      </c>
    </row>
    <row r="455" spans="1:28" s="344" customFormat="1" ht="26.25" customHeight="1">
      <c r="A455" s="1066" t="s">
        <v>2212</v>
      </c>
      <c r="B455" s="995" t="s">
        <v>568</v>
      </c>
      <c r="C455" s="549">
        <v>3673</v>
      </c>
      <c r="D455" s="1066" t="s">
        <v>85</v>
      </c>
      <c r="E455" s="946">
        <v>25.09</v>
      </c>
      <c r="F455" s="946">
        <f t="shared" si="135"/>
        <v>92155.569999999992</v>
      </c>
      <c r="G455" s="946">
        <v>4.0999999999999996</v>
      </c>
      <c r="H455" s="947">
        <f t="shared" si="136"/>
        <v>15059.3</v>
      </c>
      <c r="I455" s="947">
        <f t="shared" si="137"/>
        <v>107214.87</v>
      </c>
      <c r="J455" s="1066"/>
      <c r="K455" s="462"/>
      <c r="AA455" s="459">
        <f t="shared" si="125"/>
        <v>0</v>
      </c>
      <c r="AB455" s="459">
        <f t="shared" si="125"/>
        <v>0</v>
      </c>
    </row>
    <row r="456" spans="1:28" s="344" customFormat="1" ht="26.25" customHeight="1">
      <c r="A456" s="1066" t="s">
        <v>2213</v>
      </c>
      <c r="B456" s="995" t="s">
        <v>570</v>
      </c>
      <c r="C456" s="549">
        <f>C457*0.025*35.31</f>
        <v>173.90175000000005</v>
      </c>
      <c r="D456" s="1066" t="s">
        <v>598</v>
      </c>
      <c r="E456" s="946">
        <f>VLOOKUP(B456,$O$2:$Q$13,2,0)</f>
        <v>400</v>
      </c>
      <c r="F456" s="946">
        <f t="shared" si="135"/>
        <v>69560.700000000026</v>
      </c>
      <c r="G456" s="946">
        <f>VLOOKUP(B456,$O$2:$Q$13,3,0)</f>
        <v>0</v>
      </c>
      <c r="H456" s="947">
        <f t="shared" si="136"/>
        <v>0</v>
      </c>
      <c r="I456" s="947">
        <f t="shared" si="137"/>
        <v>69560.700000000026</v>
      </c>
      <c r="J456" s="1066"/>
      <c r="AA456" s="459">
        <f t="shared" si="125"/>
        <v>0</v>
      </c>
      <c r="AB456" s="459">
        <f t="shared" si="125"/>
        <v>0</v>
      </c>
    </row>
    <row r="457" spans="1:28" s="344" customFormat="1" ht="26.25" customHeight="1">
      <c r="A457" s="1066" t="s">
        <v>2214</v>
      </c>
      <c r="B457" s="995" t="s">
        <v>1036</v>
      </c>
      <c r="C457" s="549">
        <v>197</v>
      </c>
      <c r="D457" s="1066" t="s">
        <v>278</v>
      </c>
      <c r="E457" s="946">
        <f>VLOOKUP(B457,$O$2:$Q$13,2,0)</f>
        <v>0</v>
      </c>
      <c r="F457" s="946">
        <f t="shared" si="135"/>
        <v>0</v>
      </c>
      <c r="G457" s="946">
        <f>VLOOKUP(B457,$O$2:$Q$13,3,0)</f>
        <v>133</v>
      </c>
      <c r="H457" s="947">
        <f t="shared" si="136"/>
        <v>26201</v>
      </c>
      <c r="I457" s="947">
        <f t="shared" si="137"/>
        <v>26201</v>
      </c>
      <c r="J457" s="1066"/>
      <c r="AA457" s="459">
        <f t="shared" si="125"/>
        <v>197</v>
      </c>
      <c r="AB457" s="459">
        <f t="shared" si="125"/>
        <v>0</v>
      </c>
    </row>
    <row r="458" spans="1:28" s="344" customFormat="1" ht="26.25" customHeight="1">
      <c r="A458" s="1066" t="s">
        <v>2215</v>
      </c>
      <c r="B458" s="995" t="s">
        <v>572</v>
      </c>
      <c r="C458" s="1058">
        <v>39</v>
      </c>
      <c r="D458" s="1066" t="s">
        <v>85</v>
      </c>
      <c r="E458" s="946">
        <f>VLOOKUP(B458,$O$2:$Q$13,2,0)</f>
        <v>56.78</v>
      </c>
      <c r="F458" s="946">
        <f t="shared" si="135"/>
        <v>2214.42</v>
      </c>
      <c r="G458" s="946">
        <f>VLOOKUP(B458,$O$2:$Q$13,3,0)</f>
        <v>0</v>
      </c>
      <c r="H458" s="947">
        <f t="shared" si="136"/>
        <v>0</v>
      </c>
      <c r="I458" s="947">
        <f t="shared" si="137"/>
        <v>2214.42</v>
      </c>
      <c r="J458" s="1066"/>
      <c r="AA458" s="459">
        <f t="shared" si="125"/>
        <v>0</v>
      </c>
      <c r="AB458" s="459">
        <f t="shared" si="125"/>
        <v>0</v>
      </c>
    </row>
    <row r="459" spans="1:28" s="344" customFormat="1" ht="26.25" customHeight="1">
      <c r="A459" s="1066" t="s">
        <v>2216</v>
      </c>
      <c r="B459" s="995" t="s">
        <v>573</v>
      </c>
      <c r="C459" s="1058">
        <v>110</v>
      </c>
      <c r="D459" s="1066" t="s">
        <v>85</v>
      </c>
      <c r="E459" s="946">
        <v>33</v>
      </c>
      <c r="F459" s="946">
        <f t="shared" si="135"/>
        <v>3630</v>
      </c>
      <c r="G459" s="946">
        <f>VLOOKUP(B459,$O$2:$Q$13,3,0)</f>
        <v>0</v>
      </c>
      <c r="H459" s="947">
        <f t="shared" si="136"/>
        <v>0</v>
      </c>
      <c r="I459" s="947">
        <f t="shared" si="137"/>
        <v>3630</v>
      </c>
      <c r="J459" s="1066"/>
      <c r="AA459" s="459">
        <f t="shared" si="125"/>
        <v>0</v>
      </c>
      <c r="AB459" s="459">
        <f t="shared" si="125"/>
        <v>0</v>
      </c>
    </row>
    <row r="460" spans="1:28" s="344" customFormat="1" ht="26.25" customHeight="1">
      <c r="A460" s="1089"/>
      <c r="B460" s="563" t="s">
        <v>1338</v>
      </c>
      <c r="C460" s="1090"/>
      <c r="D460" s="1089"/>
      <c r="E460" s="1091"/>
      <c r="F460" s="1091"/>
      <c r="G460" s="1091"/>
      <c r="H460" s="1092"/>
      <c r="I460" s="1093">
        <f>SUM(I454:I459)</f>
        <v>296052.99</v>
      </c>
      <c r="J460" s="1089"/>
      <c r="AA460" s="459"/>
      <c r="AB460" s="459"/>
    </row>
    <row r="461" spans="1:28" s="344" customFormat="1" ht="26.25" customHeight="1">
      <c r="A461" s="1084" t="s">
        <v>1152</v>
      </c>
      <c r="B461" s="1085" t="s">
        <v>1263</v>
      </c>
      <c r="C461" s="1086"/>
      <c r="D461" s="1084"/>
      <c r="E461" s="1087"/>
      <c r="F461" s="1088"/>
      <c r="G461" s="1087"/>
      <c r="H461" s="1088"/>
      <c r="I461" s="1088"/>
      <c r="J461" s="1084"/>
      <c r="AA461" s="459">
        <f t="shared" si="125"/>
        <v>0</v>
      </c>
      <c r="AB461" s="459">
        <f t="shared" si="125"/>
        <v>0</v>
      </c>
    </row>
    <row r="462" spans="1:28" s="344" customFormat="1" ht="26.25" customHeight="1">
      <c r="A462" s="1066" t="s">
        <v>2217</v>
      </c>
      <c r="B462" s="995" t="s">
        <v>584</v>
      </c>
      <c r="C462" s="1058">
        <f>443-30</f>
        <v>413</v>
      </c>
      <c r="D462" s="1066" t="s">
        <v>278</v>
      </c>
      <c r="E462" s="946">
        <v>258</v>
      </c>
      <c r="F462" s="946">
        <f t="shared" ref="F462:F469" si="138">E462*C462</f>
        <v>106554</v>
      </c>
      <c r="G462" s="946">
        <v>25</v>
      </c>
      <c r="H462" s="947">
        <f t="shared" ref="H462:H469" si="139">G462*C462</f>
        <v>10325</v>
      </c>
      <c r="I462" s="947">
        <f t="shared" ref="I462:I469" si="140">H462+F462</f>
        <v>116879</v>
      </c>
      <c r="J462" s="1066"/>
      <c r="AA462" s="459">
        <f t="shared" si="125"/>
        <v>0</v>
      </c>
      <c r="AB462" s="459">
        <f t="shared" si="125"/>
        <v>0</v>
      </c>
    </row>
    <row r="463" spans="1:28" s="344" customFormat="1" ht="26.25" customHeight="1">
      <c r="A463" s="1066" t="s">
        <v>2218</v>
      </c>
      <c r="B463" s="995" t="s">
        <v>567</v>
      </c>
      <c r="C463" s="1058">
        <v>21</v>
      </c>
      <c r="D463" s="1066" t="s">
        <v>545</v>
      </c>
      <c r="E463" s="946">
        <v>2420</v>
      </c>
      <c r="F463" s="946">
        <f t="shared" si="138"/>
        <v>50820</v>
      </c>
      <c r="G463" s="946">
        <v>306</v>
      </c>
      <c r="H463" s="947">
        <f t="shared" si="139"/>
        <v>6426</v>
      </c>
      <c r="I463" s="947">
        <f t="shared" si="140"/>
        <v>57246</v>
      </c>
      <c r="J463" s="1066"/>
      <c r="AA463" s="459">
        <f t="shared" si="125"/>
        <v>0</v>
      </c>
      <c r="AB463" s="459">
        <f t="shared" si="125"/>
        <v>0</v>
      </c>
    </row>
    <row r="464" spans="1:28" s="344" customFormat="1" ht="26.25" customHeight="1">
      <c r="A464" s="1066" t="s">
        <v>2219</v>
      </c>
      <c r="B464" s="995" t="s">
        <v>585</v>
      </c>
      <c r="C464" s="1058">
        <f>443-30</f>
        <v>413</v>
      </c>
      <c r="D464" s="1066" t="s">
        <v>278</v>
      </c>
      <c r="E464" s="946">
        <v>35.5</v>
      </c>
      <c r="F464" s="946">
        <f t="shared" si="138"/>
        <v>14661.5</v>
      </c>
      <c r="G464" s="946">
        <v>5</v>
      </c>
      <c r="H464" s="947">
        <f t="shared" si="139"/>
        <v>2065</v>
      </c>
      <c r="I464" s="947">
        <f t="shared" si="140"/>
        <v>16726.5</v>
      </c>
      <c r="J464" s="1066"/>
      <c r="AA464" s="459">
        <f t="shared" si="125"/>
        <v>0</v>
      </c>
      <c r="AB464" s="459">
        <f t="shared" si="125"/>
        <v>0</v>
      </c>
    </row>
    <row r="465" spans="1:28" s="344" customFormat="1" ht="26.25" customHeight="1">
      <c r="A465" s="1066" t="s">
        <v>2220</v>
      </c>
      <c r="B465" s="995" t="s">
        <v>576</v>
      </c>
      <c r="C465" s="549">
        <v>350</v>
      </c>
      <c r="D465" s="1066" t="s">
        <v>85</v>
      </c>
      <c r="E465" s="946">
        <v>26.03</v>
      </c>
      <c r="F465" s="946">
        <f t="shared" si="138"/>
        <v>9110.5</v>
      </c>
      <c r="G465" s="946">
        <v>4.0999999999999996</v>
      </c>
      <c r="H465" s="947">
        <f t="shared" si="139"/>
        <v>1434.9999999999998</v>
      </c>
      <c r="I465" s="947">
        <f t="shared" si="140"/>
        <v>10545.5</v>
      </c>
      <c r="J465" s="1066"/>
      <c r="K465" s="462"/>
      <c r="AA465" s="459">
        <f t="shared" si="125"/>
        <v>0</v>
      </c>
      <c r="AB465" s="459">
        <f t="shared" si="125"/>
        <v>0</v>
      </c>
    </row>
    <row r="466" spans="1:28" s="344" customFormat="1" ht="26.25" customHeight="1">
      <c r="A466" s="1066" t="s">
        <v>2221</v>
      </c>
      <c r="B466" s="995" t="s">
        <v>570</v>
      </c>
      <c r="C466" s="549">
        <f>C467*0.025*35.31</f>
        <v>17.655000000000001</v>
      </c>
      <c r="D466" s="1066" t="s">
        <v>598</v>
      </c>
      <c r="E466" s="946">
        <f>VLOOKUP(B466,$O$2:$Q$13,2,0)</f>
        <v>400</v>
      </c>
      <c r="F466" s="946">
        <f t="shared" si="138"/>
        <v>7062</v>
      </c>
      <c r="G466" s="946">
        <f>VLOOKUP(B466,$O$2:$Q$13,3,0)</f>
        <v>0</v>
      </c>
      <c r="H466" s="947">
        <f t="shared" si="139"/>
        <v>0</v>
      </c>
      <c r="I466" s="947">
        <f t="shared" si="140"/>
        <v>7062</v>
      </c>
      <c r="J466" s="1066"/>
      <c r="AA466" s="459">
        <f t="shared" si="125"/>
        <v>0</v>
      </c>
      <c r="AB466" s="459">
        <f t="shared" si="125"/>
        <v>0</v>
      </c>
    </row>
    <row r="467" spans="1:28" s="344" customFormat="1" ht="26.25" customHeight="1">
      <c r="A467" s="1066" t="s">
        <v>2222</v>
      </c>
      <c r="B467" s="995" t="s">
        <v>1036</v>
      </c>
      <c r="C467" s="549">
        <v>20</v>
      </c>
      <c r="D467" s="1066" t="s">
        <v>278</v>
      </c>
      <c r="E467" s="946">
        <f>VLOOKUP(B467,$O$2:$Q$13,2,0)</f>
        <v>0</v>
      </c>
      <c r="F467" s="946">
        <f t="shared" si="138"/>
        <v>0</v>
      </c>
      <c r="G467" s="946">
        <f>VLOOKUP(B467,$O$2:$Q$13,3,0)</f>
        <v>133</v>
      </c>
      <c r="H467" s="947">
        <f t="shared" si="139"/>
        <v>2660</v>
      </c>
      <c r="I467" s="947">
        <f t="shared" si="140"/>
        <v>2660</v>
      </c>
      <c r="J467" s="1066"/>
      <c r="AA467" s="459">
        <f t="shared" si="125"/>
        <v>20</v>
      </c>
      <c r="AB467" s="459">
        <f t="shared" si="125"/>
        <v>0</v>
      </c>
    </row>
    <row r="468" spans="1:28" s="344" customFormat="1" ht="26.25" customHeight="1">
      <c r="A468" s="1066" t="s">
        <v>2223</v>
      </c>
      <c r="B468" s="995" t="s">
        <v>572</v>
      </c>
      <c r="C468" s="1058">
        <v>5</v>
      </c>
      <c r="D468" s="1066" t="s">
        <v>85</v>
      </c>
      <c r="E468" s="946">
        <f>VLOOKUP(B468,$O$2:$Q$13,2,0)</f>
        <v>56.78</v>
      </c>
      <c r="F468" s="946">
        <f t="shared" si="138"/>
        <v>283.89999999999998</v>
      </c>
      <c r="G468" s="946">
        <f>VLOOKUP(B468,$O$2:$Q$13,3,0)</f>
        <v>0</v>
      </c>
      <c r="H468" s="947">
        <f t="shared" si="139"/>
        <v>0</v>
      </c>
      <c r="I468" s="947">
        <f t="shared" si="140"/>
        <v>283.89999999999998</v>
      </c>
      <c r="J468" s="1066"/>
      <c r="AA468" s="459">
        <f t="shared" si="125"/>
        <v>0</v>
      </c>
      <c r="AB468" s="459">
        <f t="shared" si="125"/>
        <v>0</v>
      </c>
    </row>
    <row r="469" spans="1:28" s="344" customFormat="1" ht="25.9" customHeight="1">
      <c r="A469" s="1066" t="s">
        <v>2224</v>
      </c>
      <c r="B469" s="995" t="s">
        <v>573</v>
      </c>
      <c r="C469" s="1058">
        <v>5</v>
      </c>
      <c r="D469" s="1066" t="s">
        <v>85</v>
      </c>
      <c r="E469" s="946">
        <v>33</v>
      </c>
      <c r="F469" s="946">
        <f t="shared" si="138"/>
        <v>165</v>
      </c>
      <c r="G469" s="946">
        <f>VLOOKUP(B469,$O$2:$Q$13,3,0)</f>
        <v>0</v>
      </c>
      <c r="H469" s="947">
        <f t="shared" si="139"/>
        <v>0</v>
      </c>
      <c r="I469" s="947">
        <f t="shared" si="140"/>
        <v>165</v>
      </c>
      <c r="J469" s="1066"/>
      <c r="AA469" s="459">
        <f t="shared" si="125"/>
        <v>0</v>
      </c>
      <c r="AB469" s="459">
        <f t="shared" si="125"/>
        <v>0</v>
      </c>
    </row>
    <row r="470" spans="1:28" s="344" customFormat="1" ht="25.9" customHeight="1">
      <c r="A470" s="1089"/>
      <c r="B470" s="563" t="s">
        <v>1348</v>
      </c>
      <c r="C470" s="1090"/>
      <c r="D470" s="1089"/>
      <c r="E470" s="1091"/>
      <c r="F470" s="1091"/>
      <c r="G470" s="1091"/>
      <c r="H470" s="1092"/>
      <c r="I470" s="1093">
        <f>SUM(I462:I469)</f>
        <v>211567.9</v>
      </c>
      <c r="J470" s="1089"/>
      <c r="AA470" s="459"/>
      <c r="AB470" s="459"/>
    </row>
    <row r="471" spans="1:28" s="344" customFormat="1" ht="25.9" customHeight="1">
      <c r="A471" s="1084" t="s">
        <v>1261</v>
      </c>
      <c r="B471" s="1085" t="s">
        <v>1262</v>
      </c>
      <c r="C471" s="1086"/>
      <c r="D471" s="1084"/>
      <c r="E471" s="1087"/>
      <c r="F471" s="1088"/>
      <c r="G471" s="1087"/>
      <c r="H471" s="1088"/>
      <c r="I471" s="1088"/>
      <c r="J471" s="1084"/>
      <c r="AA471" s="459"/>
      <c r="AB471" s="459"/>
    </row>
    <row r="472" spans="1:28" s="344" customFormat="1" ht="25.9" customHeight="1">
      <c r="A472" s="1066" t="s">
        <v>2225</v>
      </c>
      <c r="B472" s="995" t="s">
        <v>1264</v>
      </c>
      <c r="C472" s="1058">
        <v>30</v>
      </c>
      <c r="D472" s="1066" t="s">
        <v>278</v>
      </c>
      <c r="E472" s="946">
        <v>380</v>
      </c>
      <c r="F472" s="946">
        <f t="shared" ref="F472:F477" si="141">E472*C472</f>
        <v>11400</v>
      </c>
      <c r="G472" s="946">
        <v>35</v>
      </c>
      <c r="H472" s="947">
        <f t="shared" ref="H472:H477" si="142">G472*C472</f>
        <v>1050</v>
      </c>
      <c r="I472" s="947">
        <f t="shared" ref="I472:I477" si="143">H472+F472</f>
        <v>12450</v>
      </c>
      <c r="J472" s="1066"/>
      <c r="AA472" s="459"/>
      <c r="AB472" s="459"/>
    </row>
    <row r="473" spans="1:28" s="344" customFormat="1" ht="25.9" customHeight="1">
      <c r="A473" s="1066" t="s">
        <v>2226</v>
      </c>
      <c r="B473" s="995" t="s">
        <v>567</v>
      </c>
      <c r="C473" s="1058">
        <v>2</v>
      </c>
      <c r="D473" s="1066" t="s">
        <v>545</v>
      </c>
      <c r="E473" s="946">
        <v>2420</v>
      </c>
      <c r="F473" s="946">
        <f t="shared" si="141"/>
        <v>4840</v>
      </c>
      <c r="G473" s="946">
        <v>306</v>
      </c>
      <c r="H473" s="947">
        <f t="shared" si="142"/>
        <v>612</v>
      </c>
      <c r="I473" s="947">
        <f t="shared" si="143"/>
        <v>5452</v>
      </c>
      <c r="J473" s="1066"/>
      <c r="AA473" s="459"/>
      <c r="AB473" s="459"/>
    </row>
    <row r="474" spans="1:28" s="344" customFormat="1" ht="25.9" customHeight="1">
      <c r="A474" s="1066" t="s">
        <v>2227</v>
      </c>
      <c r="B474" s="995" t="s">
        <v>585</v>
      </c>
      <c r="C474" s="1058">
        <f>C472</f>
        <v>30</v>
      </c>
      <c r="D474" s="1066" t="s">
        <v>278</v>
      </c>
      <c r="E474" s="946">
        <v>35.5</v>
      </c>
      <c r="F474" s="946">
        <f t="shared" si="141"/>
        <v>1065</v>
      </c>
      <c r="G474" s="946">
        <v>5</v>
      </c>
      <c r="H474" s="947">
        <f t="shared" si="142"/>
        <v>150</v>
      </c>
      <c r="I474" s="947">
        <f t="shared" si="143"/>
        <v>1215</v>
      </c>
      <c r="J474" s="1066"/>
      <c r="AA474" s="459"/>
      <c r="AB474" s="459"/>
    </row>
    <row r="475" spans="1:28" s="344" customFormat="1" ht="25.9" customHeight="1">
      <c r="A475" s="1066" t="s">
        <v>2228</v>
      </c>
      <c r="B475" s="995" t="s">
        <v>570</v>
      </c>
      <c r="C475" s="549">
        <f>ROUNDUP(C476*0.025*35.31,0)</f>
        <v>2</v>
      </c>
      <c r="D475" s="1066" t="s">
        <v>598</v>
      </c>
      <c r="E475" s="946">
        <f>VLOOKUP(B475,$O$2:$Q$13,2,0)</f>
        <v>400</v>
      </c>
      <c r="F475" s="946">
        <f t="shared" si="141"/>
        <v>800</v>
      </c>
      <c r="G475" s="946">
        <f>VLOOKUP(B475,$O$2:$Q$13,3,0)</f>
        <v>0</v>
      </c>
      <c r="H475" s="947">
        <f t="shared" si="142"/>
        <v>0</v>
      </c>
      <c r="I475" s="947">
        <f t="shared" si="143"/>
        <v>800</v>
      </c>
      <c r="J475" s="1066"/>
      <c r="AA475" s="459"/>
      <c r="AB475" s="459"/>
    </row>
    <row r="476" spans="1:28" s="344" customFormat="1" ht="25.9" customHeight="1">
      <c r="A476" s="1066" t="s">
        <v>2229</v>
      </c>
      <c r="B476" s="995" t="s">
        <v>1036</v>
      </c>
      <c r="C476" s="549">
        <v>2</v>
      </c>
      <c r="D476" s="1066" t="s">
        <v>278</v>
      </c>
      <c r="E476" s="946">
        <f>VLOOKUP(B476,$O$2:$Q$13,2,0)</f>
        <v>0</v>
      </c>
      <c r="F476" s="946">
        <f t="shared" si="141"/>
        <v>0</v>
      </c>
      <c r="G476" s="946">
        <f>VLOOKUP(B476,$O$2:$Q$13,3,0)</f>
        <v>133</v>
      </c>
      <c r="H476" s="947">
        <f t="shared" si="142"/>
        <v>266</v>
      </c>
      <c r="I476" s="947">
        <f t="shared" si="143"/>
        <v>266</v>
      </c>
      <c r="J476" s="1066"/>
      <c r="AA476" s="459"/>
      <c r="AB476" s="459"/>
    </row>
    <row r="477" spans="1:28" s="344" customFormat="1" ht="25.9" customHeight="1">
      <c r="A477" s="1066" t="s">
        <v>2230</v>
      </c>
      <c r="B477" s="995" t="s">
        <v>572</v>
      </c>
      <c r="C477" s="1058">
        <v>1</v>
      </c>
      <c r="D477" s="1066" t="s">
        <v>85</v>
      </c>
      <c r="E477" s="946">
        <f>VLOOKUP(B477,$O$2:$Q$13,2,0)</f>
        <v>56.78</v>
      </c>
      <c r="F477" s="946">
        <f t="shared" si="141"/>
        <v>56.78</v>
      </c>
      <c r="G477" s="946">
        <f>VLOOKUP(B477,$O$2:$Q$13,3,0)</f>
        <v>0</v>
      </c>
      <c r="H477" s="947">
        <f t="shared" si="142"/>
        <v>0</v>
      </c>
      <c r="I477" s="947">
        <f t="shared" si="143"/>
        <v>56.78</v>
      </c>
      <c r="J477" s="1066"/>
      <c r="AA477" s="459"/>
      <c r="AB477" s="459"/>
    </row>
    <row r="478" spans="1:28" s="344" customFormat="1" ht="25.9" customHeight="1">
      <c r="A478" s="1089"/>
      <c r="B478" s="563" t="s">
        <v>1349</v>
      </c>
      <c r="C478" s="1090"/>
      <c r="D478" s="1089"/>
      <c r="E478" s="1091"/>
      <c r="F478" s="1091"/>
      <c r="G478" s="1091"/>
      <c r="H478" s="1092"/>
      <c r="I478" s="1093">
        <f>SUM(I472:I477)</f>
        <v>20239.78</v>
      </c>
      <c r="J478" s="1089"/>
      <c r="AA478" s="459"/>
      <c r="AB478" s="459"/>
    </row>
    <row r="479" spans="1:28" s="344" customFormat="1" ht="25.9" customHeight="1">
      <c r="A479" s="1072"/>
      <c r="B479" s="551" t="s">
        <v>1278</v>
      </c>
      <c r="C479" s="1071"/>
      <c r="D479" s="1072"/>
      <c r="E479" s="1094"/>
      <c r="F479" s="1094"/>
      <c r="G479" s="1094"/>
      <c r="H479" s="1081"/>
      <c r="I479" s="1095">
        <f>I460+I470+I478</f>
        <v>527860.67000000004</v>
      </c>
      <c r="J479" s="1072"/>
      <c r="AA479" s="459"/>
      <c r="AB479" s="459"/>
    </row>
    <row r="480" spans="1:28" s="344" customFormat="1" ht="26.25" customHeight="1">
      <c r="A480" s="1099">
        <v>2.1</v>
      </c>
      <c r="B480" s="1096" t="s">
        <v>591</v>
      </c>
      <c r="C480" s="1053"/>
      <c r="D480" s="1054"/>
      <c r="E480" s="1055"/>
      <c r="F480" s="1056"/>
      <c r="G480" s="1055"/>
      <c r="H480" s="1056"/>
      <c r="I480" s="1056"/>
      <c r="J480" s="1057"/>
      <c r="AA480" s="459">
        <f t="shared" si="125"/>
        <v>0</v>
      </c>
      <c r="AB480" s="459">
        <f t="shared" si="125"/>
        <v>0</v>
      </c>
    </row>
    <row r="481" spans="1:28" s="344" customFormat="1" ht="26.25" customHeight="1">
      <c r="A481" s="1084" t="s">
        <v>1153</v>
      </c>
      <c r="B481" s="1085" t="s">
        <v>158</v>
      </c>
      <c r="C481" s="1086"/>
      <c r="D481" s="1084"/>
      <c r="E481" s="1087"/>
      <c r="F481" s="1088"/>
      <c r="G481" s="1087"/>
      <c r="H481" s="1088"/>
      <c r="I481" s="1088"/>
      <c r="J481" s="1084"/>
      <c r="AA481" s="459">
        <f t="shared" si="125"/>
        <v>0</v>
      </c>
      <c r="AB481" s="459">
        <f t="shared" si="125"/>
        <v>0</v>
      </c>
    </row>
    <row r="482" spans="1:28" s="344" customFormat="1" ht="26.25" customHeight="1">
      <c r="A482" s="1066" t="s">
        <v>2231</v>
      </c>
      <c r="B482" s="995" t="s">
        <v>567</v>
      </c>
      <c r="C482" s="1058">
        <v>15</v>
      </c>
      <c r="D482" s="1066" t="s">
        <v>545</v>
      </c>
      <c r="E482" s="946">
        <v>2420</v>
      </c>
      <c r="F482" s="946">
        <f t="shared" ref="F482:F489" si="144">E482*C482</f>
        <v>36300</v>
      </c>
      <c r="G482" s="946">
        <v>306</v>
      </c>
      <c r="H482" s="947">
        <f t="shared" ref="H482:H489" si="145">G482*C482</f>
        <v>4590</v>
      </c>
      <c r="I482" s="947">
        <f t="shared" ref="I482:I489" si="146">H482+F482</f>
        <v>40890</v>
      </c>
      <c r="J482" s="1066"/>
      <c r="AA482" s="459">
        <f t="shared" si="125"/>
        <v>0</v>
      </c>
      <c r="AB482" s="459">
        <f t="shared" si="125"/>
        <v>0</v>
      </c>
    </row>
    <row r="483" spans="1:28" s="344" customFormat="1" ht="26.25" customHeight="1">
      <c r="A483" s="1066" t="s">
        <v>2232</v>
      </c>
      <c r="B483" s="995" t="s">
        <v>576</v>
      </c>
      <c r="C483" s="1058">
        <v>229</v>
      </c>
      <c r="D483" s="1066" t="s">
        <v>85</v>
      </c>
      <c r="E483" s="946">
        <v>26.03</v>
      </c>
      <c r="F483" s="946">
        <f t="shared" si="144"/>
        <v>5960.87</v>
      </c>
      <c r="G483" s="946">
        <v>4.0999999999999996</v>
      </c>
      <c r="H483" s="947">
        <f t="shared" si="145"/>
        <v>938.89999999999986</v>
      </c>
      <c r="I483" s="947">
        <f t="shared" si="146"/>
        <v>6899.7699999999995</v>
      </c>
      <c r="J483" s="1066"/>
      <c r="AA483" s="459">
        <f t="shared" si="125"/>
        <v>0</v>
      </c>
      <c r="AB483" s="459">
        <f t="shared" si="125"/>
        <v>0</v>
      </c>
    </row>
    <row r="484" spans="1:28" s="344" customFormat="1" ht="26.25" customHeight="1">
      <c r="A484" s="1066" t="s">
        <v>2233</v>
      </c>
      <c r="B484" s="995" t="s">
        <v>574</v>
      </c>
      <c r="C484" s="549">
        <v>2126</v>
      </c>
      <c r="D484" s="1066" t="s">
        <v>85</v>
      </c>
      <c r="E484" s="946">
        <v>26.36</v>
      </c>
      <c r="F484" s="946">
        <f t="shared" si="144"/>
        <v>56041.36</v>
      </c>
      <c r="G484" s="946">
        <v>3.3</v>
      </c>
      <c r="H484" s="947">
        <f t="shared" si="145"/>
        <v>7015.7999999999993</v>
      </c>
      <c r="I484" s="947">
        <f t="shared" si="146"/>
        <v>63057.16</v>
      </c>
      <c r="J484" s="1066"/>
      <c r="AA484" s="459">
        <f t="shared" si="125"/>
        <v>0</v>
      </c>
      <c r="AB484" s="459">
        <f t="shared" si="125"/>
        <v>0</v>
      </c>
    </row>
    <row r="485" spans="1:28" s="344" customFormat="1" ht="26.25" customHeight="1">
      <c r="A485" s="1066" t="s">
        <v>2234</v>
      </c>
      <c r="B485" s="995" t="s">
        <v>570</v>
      </c>
      <c r="C485" s="549">
        <f>C486*0.025*35.31</f>
        <v>160.66050000000001</v>
      </c>
      <c r="D485" s="1066" t="s">
        <v>598</v>
      </c>
      <c r="E485" s="946">
        <f t="shared" ref="E485:E488" si="147">VLOOKUP(B485,$O$2:$Q$13,2,0)</f>
        <v>400</v>
      </c>
      <c r="F485" s="946">
        <f t="shared" si="144"/>
        <v>64264.200000000004</v>
      </c>
      <c r="G485" s="946">
        <f t="shared" ref="G485:G489" si="148">VLOOKUP(B485,$O$2:$Q$13,3,0)</f>
        <v>0</v>
      </c>
      <c r="H485" s="947">
        <f t="shared" si="145"/>
        <v>0</v>
      </c>
      <c r="I485" s="947">
        <f t="shared" si="146"/>
        <v>64264.200000000004</v>
      </c>
      <c r="J485" s="1066"/>
      <c r="AA485" s="459">
        <f t="shared" si="125"/>
        <v>0</v>
      </c>
      <c r="AB485" s="459">
        <f t="shared" si="125"/>
        <v>0</v>
      </c>
    </row>
    <row r="486" spans="1:28" s="344" customFormat="1" ht="26.25" customHeight="1">
      <c r="A486" s="1066" t="s">
        <v>2235</v>
      </c>
      <c r="B486" s="995" t="s">
        <v>1036</v>
      </c>
      <c r="C486" s="549">
        <v>182</v>
      </c>
      <c r="D486" s="1066" t="s">
        <v>278</v>
      </c>
      <c r="E486" s="946">
        <f t="shared" si="147"/>
        <v>0</v>
      </c>
      <c r="F486" s="946">
        <f t="shared" si="144"/>
        <v>0</v>
      </c>
      <c r="G486" s="946">
        <f t="shared" si="148"/>
        <v>133</v>
      </c>
      <c r="H486" s="947">
        <f t="shared" si="145"/>
        <v>24206</v>
      </c>
      <c r="I486" s="947">
        <f t="shared" si="146"/>
        <v>24206</v>
      </c>
      <c r="J486" s="1066"/>
      <c r="AA486" s="459">
        <f t="shared" si="125"/>
        <v>182</v>
      </c>
      <c r="AB486" s="459">
        <f t="shared" si="125"/>
        <v>0</v>
      </c>
    </row>
    <row r="487" spans="1:28" s="344" customFormat="1" ht="26.25" customHeight="1">
      <c r="A487" s="1066" t="s">
        <v>2236</v>
      </c>
      <c r="B487" s="995" t="s">
        <v>571</v>
      </c>
      <c r="C487" s="549">
        <v>19</v>
      </c>
      <c r="D487" s="1066" t="s">
        <v>598</v>
      </c>
      <c r="E487" s="946">
        <f t="shared" si="147"/>
        <v>400</v>
      </c>
      <c r="F487" s="946">
        <f t="shared" si="144"/>
        <v>7600</v>
      </c>
      <c r="G487" s="946">
        <f t="shared" si="148"/>
        <v>0</v>
      </c>
      <c r="H487" s="947">
        <f t="shared" si="145"/>
        <v>0</v>
      </c>
      <c r="I487" s="947">
        <f t="shared" si="146"/>
        <v>7600</v>
      </c>
      <c r="J487" s="1066"/>
      <c r="AA487" s="459">
        <f t="shared" si="125"/>
        <v>0</v>
      </c>
      <c r="AB487" s="459">
        <f t="shared" si="125"/>
        <v>0</v>
      </c>
    </row>
    <row r="488" spans="1:28" s="344" customFormat="1" ht="26.25" customHeight="1">
      <c r="A488" s="1066" t="s">
        <v>2237</v>
      </c>
      <c r="B488" s="995" t="s">
        <v>572</v>
      </c>
      <c r="C488" s="1058">
        <v>36</v>
      </c>
      <c r="D488" s="1066" t="s">
        <v>85</v>
      </c>
      <c r="E488" s="946">
        <f t="shared" si="147"/>
        <v>56.78</v>
      </c>
      <c r="F488" s="946">
        <f t="shared" si="144"/>
        <v>2044.08</v>
      </c>
      <c r="G488" s="946">
        <f t="shared" si="148"/>
        <v>0</v>
      </c>
      <c r="H488" s="947">
        <f t="shared" si="145"/>
        <v>0</v>
      </c>
      <c r="I488" s="947">
        <f t="shared" si="146"/>
        <v>2044.08</v>
      </c>
      <c r="J488" s="1066"/>
      <c r="AA488" s="459">
        <f t="shared" si="125"/>
        <v>0</v>
      </c>
      <c r="AB488" s="459">
        <f t="shared" si="125"/>
        <v>0</v>
      </c>
    </row>
    <row r="489" spans="1:28" s="344" customFormat="1" ht="26.25" customHeight="1">
      <c r="A489" s="1066" t="s">
        <v>2238</v>
      </c>
      <c r="B489" s="995" t="s">
        <v>573</v>
      </c>
      <c r="C489" s="1058">
        <v>70</v>
      </c>
      <c r="D489" s="1066" t="s">
        <v>85</v>
      </c>
      <c r="E489" s="946">
        <v>33</v>
      </c>
      <c r="F489" s="946">
        <f t="shared" si="144"/>
        <v>2310</v>
      </c>
      <c r="G489" s="946">
        <f t="shared" si="148"/>
        <v>0</v>
      </c>
      <c r="H489" s="947">
        <f t="shared" si="145"/>
        <v>0</v>
      </c>
      <c r="I489" s="947">
        <f t="shared" si="146"/>
        <v>2310</v>
      </c>
      <c r="J489" s="1066"/>
      <c r="AA489" s="459">
        <f t="shared" si="125"/>
        <v>0</v>
      </c>
      <c r="AB489" s="459">
        <f t="shared" si="125"/>
        <v>0</v>
      </c>
    </row>
    <row r="490" spans="1:28" s="344" customFormat="1" ht="26.25" customHeight="1">
      <c r="A490" s="1089"/>
      <c r="B490" s="563" t="s">
        <v>1320</v>
      </c>
      <c r="C490" s="1090"/>
      <c r="D490" s="1089"/>
      <c r="E490" s="1091"/>
      <c r="F490" s="1091"/>
      <c r="G490" s="1091"/>
      <c r="H490" s="1092"/>
      <c r="I490" s="1093">
        <f>SUM(I482:I489)</f>
        <v>211271.21</v>
      </c>
      <c r="J490" s="1089"/>
      <c r="AA490" s="459"/>
      <c r="AB490" s="459"/>
    </row>
    <row r="491" spans="1:28" s="344" customFormat="1" ht="26.25" customHeight="1">
      <c r="A491" s="1084" t="s">
        <v>1154</v>
      </c>
      <c r="B491" s="1085" t="s">
        <v>159</v>
      </c>
      <c r="C491" s="1086"/>
      <c r="D491" s="1084"/>
      <c r="E491" s="1087"/>
      <c r="F491" s="1088"/>
      <c r="G491" s="1087"/>
      <c r="H491" s="1088"/>
      <c r="I491" s="1088"/>
      <c r="J491" s="1084"/>
      <c r="AA491" s="459">
        <f t="shared" si="125"/>
        <v>0</v>
      </c>
      <c r="AB491" s="459">
        <f t="shared" si="125"/>
        <v>0</v>
      </c>
    </row>
    <row r="492" spans="1:28" s="344" customFormat="1" ht="26.25" customHeight="1">
      <c r="A492" s="1066" t="s">
        <v>2239</v>
      </c>
      <c r="B492" s="995" t="s">
        <v>567</v>
      </c>
      <c r="C492" s="1058">
        <v>4</v>
      </c>
      <c r="D492" s="1066" t="s">
        <v>545</v>
      </c>
      <c r="E492" s="946">
        <v>2420</v>
      </c>
      <c r="F492" s="946">
        <f t="shared" ref="F492:F499" si="149">E492*C492</f>
        <v>9680</v>
      </c>
      <c r="G492" s="1102">
        <v>306</v>
      </c>
      <c r="H492" s="947">
        <f t="shared" ref="H492:H499" si="150">G492*C492</f>
        <v>1224</v>
      </c>
      <c r="I492" s="947">
        <f t="shared" ref="I492:I499" si="151">H492+F492</f>
        <v>10904</v>
      </c>
      <c r="J492" s="1066"/>
      <c r="AA492" s="459">
        <f t="shared" si="125"/>
        <v>0</v>
      </c>
      <c r="AB492" s="459">
        <f t="shared" si="125"/>
        <v>0</v>
      </c>
    </row>
    <row r="493" spans="1:28" s="344" customFormat="1" ht="26.25" customHeight="1">
      <c r="A493" s="1066" t="s">
        <v>2240</v>
      </c>
      <c r="B493" s="995" t="s">
        <v>576</v>
      </c>
      <c r="C493" s="1058">
        <v>56</v>
      </c>
      <c r="D493" s="1066" t="s">
        <v>85</v>
      </c>
      <c r="E493" s="946">
        <v>26.03</v>
      </c>
      <c r="F493" s="946">
        <f t="shared" si="149"/>
        <v>1457.68</v>
      </c>
      <c r="G493" s="946">
        <v>4.0999999999999996</v>
      </c>
      <c r="H493" s="947">
        <f t="shared" si="150"/>
        <v>229.59999999999997</v>
      </c>
      <c r="I493" s="947">
        <f t="shared" si="151"/>
        <v>1687.28</v>
      </c>
      <c r="J493" s="1066"/>
      <c r="AA493" s="459">
        <f t="shared" si="125"/>
        <v>0</v>
      </c>
      <c r="AB493" s="459">
        <f t="shared" si="125"/>
        <v>0</v>
      </c>
    </row>
    <row r="494" spans="1:28" s="344" customFormat="1" ht="26.25" customHeight="1">
      <c r="A494" s="1066" t="s">
        <v>2241</v>
      </c>
      <c r="B494" s="995" t="s">
        <v>574</v>
      </c>
      <c r="C494" s="549">
        <v>518</v>
      </c>
      <c r="D494" s="1066" t="s">
        <v>85</v>
      </c>
      <c r="E494" s="946">
        <v>26.36</v>
      </c>
      <c r="F494" s="946">
        <f t="shared" si="149"/>
        <v>13654.48</v>
      </c>
      <c r="G494" s="946">
        <v>3.3</v>
      </c>
      <c r="H494" s="947">
        <f t="shared" si="150"/>
        <v>1709.3999999999999</v>
      </c>
      <c r="I494" s="947">
        <f t="shared" si="151"/>
        <v>15363.88</v>
      </c>
      <c r="J494" s="1066"/>
      <c r="AA494" s="459">
        <f t="shared" si="125"/>
        <v>0</v>
      </c>
      <c r="AB494" s="459">
        <f t="shared" si="125"/>
        <v>0</v>
      </c>
    </row>
    <row r="495" spans="1:28" s="344" customFormat="1" ht="26.25" customHeight="1">
      <c r="A495" s="1066" t="s">
        <v>2242</v>
      </c>
      <c r="B495" s="995" t="s">
        <v>570</v>
      </c>
      <c r="C495" s="549">
        <f>C496*0.025*35.31</f>
        <v>39.723750000000003</v>
      </c>
      <c r="D495" s="1066" t="s">
        <v>598</v>
      </c>
      <c r="E495" s="946">
        <f t="shared" ref="E495:E498" si="152">VLOOKUP(B495,$O$2:$Q$13,2,0)</f>
        <v>400</v>
      </c>
      <c r="F495" s="946">
        <f t="shared" si="149"/>
        <v>15889.500000000002</v>
      </c>
      <c r="G495" s="946">
        <f t="shared" ref="G495:G499" si="153">VLOOKUP(B495,$O$2:$Q$13,3,0)</f>
        <v>0</v>
      </c>
      <c r="H495" s="947">
        <f t="shared" si="150"/>
        <v>0</v>
      </c>
      <c r="I495" s="947">
        <f t="shared" si="151"/>
        <v>15889.500000000002</v>
      </c>
      <c r="J495" s="1066"/>
      <c r="AA495" s="459">
        <f t="shared" si="125"/>
        <v>0</v>
      </c>
      <c r="AB495" s="459">
        <f t="shared" si="125"/>
        <v>0</v>
      </c>
    </row>
    <row r="496" spans="1:28" s="344" customFormat="1" ht="26.25" customHeight="1">
      <c r="A496" s="1066" t="s">
        <v>2243</v>
      </c>
      <c r="B496" s="995" t="s">
        <v>1036</v>
      </c>
      <c r="C496" s="549">
        <v>45</v>
      </c>
      <c r="D496" s="1066" t="s">
        <v>278</v>
      </c>
      <c r="E496" s="946">
        <f t="shared" si="152"/>
        <v>0</v>
      </c>
      <c r="F496" s="946">
        <f t="shared" si="149"/>
        <v>0</v>
      </c>
      <c r="G496" s="946">
        <f t="shared" si="153"/>
        <v>133</v>
      </c>
      <c r="H496" s="947">
        <f t="shared" si="150"/>
        <v>5985</v>
      </c>
      <c r="I496" s="947">
        <f t="shared" si="151"/>
        <v>5985</v>
      </c>
      <c r="J496" s="1066"/>
      <c r="AA496" s="459">
        <f t="shared" si="125"/>
        <v>45</v>
      </c>
      <c r="AB496" s="459">
        <f t="shared" si="125"/>
        <v>0</v>
      </c>
    </row>
    <row r="497" spans="1:28" s="344" customFormat="1" ht="26.25" customHeight="1">
      <c r="A497" s="1066" t="s">
        <v>2244</v>
      </c>
      <c r="B497" s="995" t="s">
        <v>571</v>
      </c>
      <c r="C497" s="549">
        <v>5</v>
      </c>
      <c r="D497" s="1066" t="s">
        <v>598</v>
      </c>
      <c r="E497" s="946">
        <f t="shared" si="152"/>
        <v>400</v>
      </c>
      <c r="F497" s="946">
        <f t="shared" si="149"/>
        <v>2000</v>
      </c>
      <c r="G497" s="946">
        <f t="shared" si="153"/>
        <v>0</v>
      </c>
      <c r="H497" s="947">
        <f t="shared" si="150"/>
        <v>0</v>
      </c>
      <c r="I497" s="947">
        <f t="shared" si="151"/>
        <v>2000</v>
      </c>
      <c r="J497" s="1066"/>
      <c r="AA497" s="459">
        <f t="shared" si="125"/>
        <v>0</v>
      </c>
      <c r="AB497" s="459">
        <f t="shared" si="125"/>
        <v>0</v>
      </c>
    </row>
    <row r="498" spans="1:28" s="344" customFormat="1" ht="26.25" customHeight="1">
      <c r="A498" s="1066" t="s">
        <v>2245</v>
      </c>
      <c r="B498" s="995" t="s">
        <v>572</v>
      </c>
      <c r="C498" s="1058">
        <v>9</v>
      </c>
      <c r="D498" s="1066" t="s">
        <v>85</v>
      </c>
      <c r="E498" s="946">
        <f t="shared" si="152"/>
        <v>56.78</v>
      </c>
      <c r="F498" s="946">
        <f t="shared" si="149"/>
        <v>511.02</v>
      </c>
      <c r="G498" s="946">
        <f t="shared" si="153"/>
        <v>0</v>
      </c>
      <c r="H498" s="947">
        <f t="shared" si="150"/>
        <v>0</v>
      </c>
      <c r="I498" s="947">
        <f t="shared" si="151"/>
        <v>511.02</v>
      </c>
      <c r="J498" s="1066"/>
      <c r="AA498" s="459">
        <f t="shared" si="125"/>
        <v>0</v>
      </c>
      <c r="AB498" s="459">
        <f t="shared" si="125"/>
        <v>0</v>
      </c>
    </row>
    <row r="499" spans="1:28" s="344" customFormat="1" ht="26.25" customHeight="1">
      <c r="A499" s="1066" t="s">
        <v>2246</v>
      </c>
      <c r="B499" s="995" t="s">
        <v>573</v>
      </c>
      <c r="C499" s="1058">
        <v>17</v>
      </c>
      <c r="D499" s="1066" t="s">
        <v>85</v>
      </c>
      <c r="E499" s="946">
        <v>33</v>
      </c>
      <c r="F499" s="946">
        <f t="shared" si="149"/>
        <v>561</v>
      </c>
      <c r="G499" s="946">
        <f t="shared" si="153"/>
        <v>0</v>
      </c>
      <c r="H499" s="947">
        <f t="shared" si="150"/>
        <v>0</v>
      </c>
      <c r="I499" s="947">
        <f t="shared" si="151"/>
        <v>561</v>
      </c>
      <c r="J499" s="1066"/>
      <c r="AA499" s="459">
        <f t="shared" si="125"/>
        <v>0</v>
      </c>
      <c r="AB499" s="459">
        <f t="shared" si="125"/>
        <v>0</v>
      </c>
    </row>
    <row r="500" spans="1:28" s="344" customFormat="1" ht="26.25" customHeight="1">
      <c r="A500" s="1089"/>
      <c r="B500" s="563" t="s">
        <v>1321</v>
      </c>
      <c r="C500" s="1090"/>
      <c r="D500" s="1089"/>
      <c r="E500" s="1091"/>
      <c r="F500" s="1091"/>
      <c r="G500" s="1091"/>
      <c r="H500" s="1092"/>
      <c r="I500" s="1093">
        <f>SUM(I492:I499)</f>
        <v>52901.68</v>
      </c>
      <c r="J500" s="1089"/>
      <c r="AA500" s="459"/>
      <c r="AB500" s="459"/>
    </row>
    <row r="501" spans="1:28" s="344" customFormat="1" ht="26.25" customHeight="1">
      <c r="A501" s="1084" t="s">
        <v>1155</v>
      </c>
      <c r="B501" s="1085" t="s">
        <v>160</v>
      </c>
      <c r="C501" s="1086"/>
      <c r="D501" s="1084"/>
      <c r="E501" s="1087"/>
      <c r="F501" s="1088"/>
      <c r="G501" s="1087"/>
      <c r="H501" s="1088"/>
      <c r="I501" s="1088"/>
      <c r="J501" s="1084"/>
      <c r="AA501" s="459">
        <f t="shared" si="125"/>
        <v>0</v>
      </c>
      <c r="AB501" s="459">
        <f t="shared" si="125"/>
        <v>0</v>
      </c>
    </row>
    <row r="502" spans="1:28" s="344" customFormat="1" ht="26.25" customHeight="1">
      <c r="A502" s="1066" t="s">
        <v>2247</v>
      </c>
      <c r="B502" s="995" t="s">
        <v>567</v>
      </c>
      <c r="C502" s="1058">
        <v>2</v>
      </c>
      <c r="D502" s="1066" t="s">
        <v>545</v>
      </c>
      <c r="E502" s="946">
        <v>2420</v>
      </c>
      <c r="F502" s="946">
        <f t="shared" ref="F502:F509" si="154">E502*C502</f>
        <v>4840</v>
      </c>
      <c r="G502" s="946">
        <v>306</v>
      </c>
      <c r="H502" s="947">
        <f t="shared" ref="H502:H509" si="155">G502*C502</f>
        <v>612</v>
      </c>
      <c r="I502" s="947">
        <f t="shared" ref="I502:I509" si="156">H502+F502</f>
        <v>5452</v>
      </c>
      <c r="J502" s="1066"/>
      <c r="AA502" s="459">
        <f t="shared" si="125"/>
        <v>0</v>
      </c>
      <c r="AB502" s="459">
        <f t="shared" si="125"/>
        <v>0</v>
      </c>
    </row>
    <row r="503" spans="1:28" s="344" customFormat="1" ht="26.25" customHeight="1">
      <c r="A503" s="1066" t="s">
        <v>2248</v>
      </c>
      <c r="B503" s="995" t="s">
        <v>576</v>
      </c>
      <c r="C503" s="1058">
        <v>39</v>
      </c>
      <c r="D503" s="1066" t="s">
        <v>85</v>
      </c>
      <c r="E503" s="946">
        <v>26.03</v>
      </c>
      <c r="F503" s="946">
        <f t="shared" si="154"/>
        <v>1015.1700000000001</v>
      </c>
      <c r="G503" s="946">
        <v>4.0999999999999996</v>
      </c>
      <c r="H503" s="947">
        <f t="shared" si="155"/>
        <v>159.89999999999998</v>
      </c>
      <c r="I503" s="947">
        <f t="shared" si="156"/>
        <v>1175.0700000000002</v>
      </c>
      <c r="J503" s="1066"/>
      <c r="AA503" s="459">
        <f t="shared" si="125"/>
        <v>0</v>
      </c>
      <c r="AB503" s="459">
        <f t="shared" si="125"/>
        <v>0</v>
      </c>
    </row>
    <row r="504" spans="1:28" s="344" customFormat="1" ht="26.25" customHeight="1">
      <c r="A504" s="1066" t="s">
        <v>2249</v>
      </c>
      <c r="B504" s="995" t="s">
        <v>574</v>
      </c>
      <c r="C504" s="549">
        <v>363</v>
      </c>
      <c r="D504" s="1066" t="s">
        <v>85</v>
      </c>
      <c r="E504" s="946">
        <v>26.36</v>
      </c>
      <c r="F504" s="946">
        <f t="shared" si="154"/>
        <v>9568.68</v>
      </c>
      <c r="G504" s="946">
        <v>3.3</v>
      </c>
      <c r="H504" s="947">
        <f t="shared" si="155"/>
        <v>1197.8999999999999</v>
      </c>
      <c r="I504" s="947">
        <f t="shared" si="156"/>
        <v>10766.58</v>
      </c>
      <c r="J504" s="1066"/>
      <c r="AA504" s="459">
        <f t="shared" si="125"/>
        <v>0</v>
      </c>
      <c r="AB504" s="459">
        <f t="shared" si="125"/>
        <v>0</v>
      </c>
    </row>
    <row r="505" spans="1:28" s="344" customFormat="1" ht="26.25" customHeight="1">
      <c r="A505" s="1066" t="s">
        <v>2250</v>
      </c>
      <c r="B505" s="995" t="s">
        <v>570</v>
      </c>
      <c r="C505" s="549">
        <f>C506*0.025*35.31</f>
        <v>25.599750000000004</v>
      </c>
      <c r="D505" s="1066" t="s">
        <v>598</v>
      </c>
      <c r="E505" s="946">
        <f t="shared" ref="E505:E508" si="157">VLOOKUP(B505,$O$2:$Q$13,2,0)</f>
        <v>400</v>
      </c>
      <c r="F505" s="946">
        <f t="shared" si="154"/>
        <v>10239.900000000001</v>
      </c>
      <c r="G505" s="946">
        <f t="shared" ref="G505:G509" si="158">VLOOKUP(B505,$O$2:$Q$13,3,0)</f>
        <v>0</v>
      </c>
      <c r="H505" s="947">
        <f t="shared" si="155"/>
        <v>0</v>
      </c>
      <c r="I505" s="947">
        <f t="shared" si="156"/>
        <v>10239.900000000001</v>
      </c>
      <c r="J505" s="1066"/>
      <c r="AA505" s="459">
        <f t="shared" ref="AA505:AB545" si="159">IF($B505=AA$1,$C505,0)</f>
        <v>0</v>
      </c>
      <c r="AB505" s="459">
        <f t="shared" si="159"/>
        <v>0</v>
      </c>
    </row>
    <row r="506" spans="1:28" s="344" customFormat="1" ht="26.25" customHeight="1">
      <c r="A506" s="1066" t="s">
        <v>2251</v>
      </c>
      <c r="B506" s="995" t="s">
        <v>1036</v>
      </c>
      <c r="C506" s="549">
        <v>29</v>
      </c>
      <c r="D506" s="1066" t="s">
        <v>278</v>
      </c>
      <c r="E506" s="946">
        <f t="shared" si="157"/>
        <v>0</v>
      </c>
      <c r="F506" s="946">
        <f t="shared" si="154"/>
        <v>0</v>
      </c>
      <c r="G506" s="946">
        <f t="shared" si="158"/>
        <v>133</v>
      </c>
      <c r="H506" s="947">
        <f t="shared" si="155"/>
        <v>3857</v>
      </c>
      <c r="I506" s="947">
        <f t="shared" si="156"/>
        <v>3857</v>
      </c>
      <c r="J506" s="1066"/>
      <c r="AA506" s="459">
        <f t="shared" si="159"/>
        <v>29</v>
      </c>
      <c r="AB506" s="459">
        <f t="shared" si="159"/>
        <v>0</v>
      </c>
    </row>
    <row r="507" spans="1:28" s="344" customFormat="1" ht="26.25" customHeight="1">
      <c r="A507" s="1066" t="s">
        <v>2252</v>
      </c>
      <c r="B507" s="995" t="s">
        <v>571</v>
      </c>
      <c r="C507" s="549">
        <v>3</v>
      </c>
      <c r="D507" s="1066" t="s">
        <v>598</v>
      </c>
      <c r="E507" s="946">
        <f t="shared" si="157"/>
        <v>400</v>
      </c>
      <c r="F507" s="946">
        <f t="shared" si="154"/>
        <v>1200</v>
      </c>
      <c r="G507" s="946">
        <f t="shared" si="158"/>
        <v>0</v>
      </c>
      <c r="H507" s="947">
        <f t="shared" si="155"/>
        <v>0</v>
      </c>
      <c r="I507" s="947">
        <f t="shared" si="156"/>
        <v>1200</v>
      </c>
      <c r="J507" s="1066"/>
      <c r="AA507" s="459">
        <f t="shared" si="159"/>
        <v>0</v>
      </c>
      <c r="AB507" s="459">
        <f t="shared" si="159"/>
        <v>0</v>
      </c>
    </row>
    <row r="508" spans="1:28" s="344" customFormat="1" ht="26.25" customHeight="1">
      <c r="A508" s="1066" t="s">
        <v>2253</v>
      </c>
      <c r="B508" s="995" t="s">
        <v>572</v>
      </c>
      <c r="C508" s="1058">
        <v>6</v>
      </c>
      <c r="D508" s="1066" t="s">
        <v>85</v>
      </c>
      <c r="E508" s="946">
        <f t="shared" si="157"/>
        <v>56.78</v>
      </c>
      <c r="F508" s="946">
        <f t="shared" si="154"/>
        <v>340.68</v>
      </c>
      <c r="G508" s="946">
        <f t="shared" si="158"/>
        <v>0</v>
      </c>
      <c r="H508" s="947">
        <f t="shared" si="155"/>
        <v>0</v>
      </c>
      <c r="I508" s="947">
        <f t="shared" si="156"/>
        <v>340.68</v>
      </c>
      <c r="J508" s="1066"/>
      <c r="AA508" s="459">
        <f t="shared" si="159"/>
        <v>0</v>
      </c>
      <c r="AB508" s="459">
        <f t="shared" si="159"/>
        <v>0</v>
      </c>
    </row>
    <row r="509" spans="1:28" s="344" customFormat="1" ht="26.25" customHeight="1">
      <c r="A509" s="1066" t="s">
        <v>2254</v>
      </c>
      <c r="B509" s="995" t="s">
        <v>573</v>
      </c>
      <c r="C509" s="1058">
        <v>12</v>
      </c>
      <c r="D509" s="1066" t="s">
        <v>85</v>
      </c>
      <c r="E509" s="946">
        <v>33</v>
      </c>
      <c r="F509" s="946">
        <f t="shared" si="154"/>
        <v>396</v>
      </c>
      <c r="G509" s="946">
        <f t="shared" si="158"/>
        <v>0</v>
      </c>
      <c r="H509" s="947">
        <f t="shared" si="155"/>
        <v>0</v>
      </c>
      <c r="I509" s="947">
        <f t="shared" si="156"/>
        <v>396</v>
      </c>
      <c r="J509" s="1066"/>
      <c r="AA509" s="459">
        <f t="shared" si="159"/>
        <v>0</v>
      </c>
      <c r="AB509" s="459">
        <f t="shared" si="159"/>
        <v>0</v>
      </c>
    </row>
    <row r="510" spans="1:28" s="344" customFormat="1" ht="26.25" customHeight="1">
      <c r="A510" s="1089"/>
      <c r="B510" s="563" t="s">
        <v>1322</v>
      </c>
      <c r="C510" s="1090"/>
      <c r="D510" s="1089"/>
      <c r="E510" s="1091"/>
      <c r="F510" s="1091"/>
      <c r="G510" s="1091"/>
      <c r="H510" s="1092"/>
      <c r="I510" s="1093">
        <f>SUM(I502:I509)</f>
        <v>33427.230000000003</v>
      </c>
      <c r="J510" s="1089"/>
      <c r="AA510" s="459"/>
      <c r="AB510" s="459"/>
    </row>
    <row r="511" spans="1:28" s="344" customFormat="1" ht="26.25" customHeight="1">
      <c r="A511" s="1084" t="s">
        <v>1156</v>
      </c>
      <c r="B511" s="1085" t="s">
        <v>161</v>
      </c>
      <c r="C511" s="1086"/>
      <c r="D511" s="1084"/>
      <c r="E511" s="1087"/>
      <c r="F511" s="1088"/>
      <c r="G511" s="1087"/>
      <c r="H511" s="1088"/>
      <c r="I511" s="1088"/>
      <c r="J511" s="1084"/>
      <c r="AA511" s="459">
        <f t="shared" si="159"/>
        <v>0</v>
      </c>
      <c r="AB511" s="459">
        <f t="shared" si="159"/>
        <v>0</v>
      </c>
    </row>
    <row r="512" spans="1:28" s="344" customFormat="1" ht="26.25" customHeight="1">
      <c r="A512" s="1066" t="s">
        <v>2255</v>
      </c>
      <c r="B512" s="995" t="s">
        <v>567</v>
      </c>
      <c r="C512" s="1058">
        <v>1</v>
      </c>
      <c r="D512" s="1066" t="s">
        <v>545</v>
      </c>
      <c r="E512" s="946">
        <v>2420</v>
      </c>
      <c r="F512" s="946">
        <f t="shared" ref="F512:F519" si="160">E512*C512</f>
        <v>2420</v>
      </c>
      <c r="G512" s="946">
        <v>306</v>
      </c>
      <c r="H512" s="947">
        <f t="shared" ref="H512:H519" si="161">G512*C512</f>
        <v>306</v>
      </c>
      <c r="I512" s="947">
        <f t="shared" ref="I512:I519" si="162">H512+F512</f>
        <v>2726</v>
      </c>
      <c r="J512" s="1066"/>
      <c r="AA512" s="459">
        <f t="shared" si="159"/>
        <v>0</v>
      </c>
      <c r="AB512" s="459">
        <f t="shared" si="159"/>
        <v>0</v>
      </c>
    </row>
    <row r="513" spans="1:28" s="344" customFormat="1" ht="26.25" customHeight="1">
      <c r="A513" s="1066" t="s">
        <v>2256</v>
      </c>
      <c r="B513" s="995" t="s">
        <v>576</v>
      </c>
      <c r="C513" s="1058">
        <v>13</v>
      </c>
      <c r="D513" s="1066" t="s">
        <v>85</v>
      </c>
      <c r="E513" s="946">
        <v>26.03</v>
      </c>
      <c r="F513" s="946">
        <f t="shared" si="160"/>
        <v>338.39</v>
      </c>
      <c r="G513" s="946">
        <v>53.3</v>
      </c>
      <c r="H513" s="947">
        <f t="shared" si="161"/>
        <v>692.9</v>
      </c>
      <c r="I513" s="947">
        <f t="shared" si="162"/>
        <v>1031.29</v>
      </c>
      <c r="J513" s="1066"/>
      <c r="AA513" s="459">
        <f t="shared" si="159"/>
        <v>0</v>
      </c>
      <c r="AB513" s="459">
        <f t="shared" si="159"/>
        <v>0</v>
      </c>
    </row>
    <row r="514" spans="1:28" s="344" customFormat="1" ht="26.25" customHeight="1">
      <c r="A514" s="1066" t="s">
        <v>2257</v>
      </c>
      <c r="B514" s="995" t="s">
        <v>574</v>
      </c>
      <c r="C514" s="549">
        <v>130</v>
      </c>
      <c r="D514" s="1066" t="s">
        <v>85</v>
      </c>
      <c r="E514" s="946">
        <v>26.36</v>
      </c>
      <c r="F514" s="946">
        <f t="shared" si="160"/>
        <v>3426.7999999999997</v>
      </c>
      <c r="G514" s="946">
        <v>3.3</v>
      </c>
      <c r="H514" s="947">
        <f t="shared" si="161"/>
        <v>429</v>
      </c>
      <c r="I514" s="947">
        <f t="shared" si="162"/>
        <v>3855.7999999999997</v>
      </c>
      <c r="J514" s="1066"/>
      <c r="AA514" s="459">
        <f t="shared" si="159"/>
        <v>0</v>
      </c>
      <c r="AB514" s="459">
        <f t="shared" si="159"/>
        <v>0</v>
      </c>
    </row>
    <row r="515" spans="1:28" s="344" customFormat="1" ht="26.25" customHeight="1">
      <c r="A515" s="1066" t="s">
        <v>2258</v>
      </c>
      <c r="B515" s="995" t="s">
        <v>570</v>
      </c>
      <c r="C515" s="549">
        <f>C516*0.025*35.31</f>
        <v>9.710250000000002</v>
      </c>
      <c r="D515" s="1066" t="s">
        <v>598</v>
      </c>
      <c r="E515" s="946">
        <f t="shared" ref="E515:E518" si="163">VLOOKUP(B515,$O$2:$Q$13,2,0)</f>
        <v>400</v>
      </c>
      <c r="F515" s="946">
        <f t="shared" si="160"/>
        <v>3884.1000000000008</v>
      </c>
      <c r="G515" s="946">
        <f t="shared" ref="G515:G519" si="164">VLOOKUP(B515,$O$2:$Q$13,3,0)</f>
        <v>0</v>
      </c>
      <c r="H515" s="947">
        <f t="shared" si="161"/>
        <v>0</v>
      </c>
      <c r="I515" s="947">
        <f t="shared" si="162"/>
        <v>3884.1000000000008</v>
      </c>
      <c r="J515" s="1066"/>
      <c r="AA515" s="459">
        <f t="shared" si="159"/>
        <v>0</v>
      </c>
      <c r="AB515" s="459">
        <f t="shared" si="159"/>
        <v>0</v>
      </c>
    </row>
    <row r="516" spans="1:28" s="344" customFormat="1" ht="26.25" customHeight="1">
      <c r="A516" s="1066" t="s">
        <v>2259</v>
      </c>
      <c r="B516" s="995" t="s">
        <v>1036</v>
      </c>
      <c r="C516" s="549">
        <v>11</v>
      </c>
      <c r="D516" s="1066" t="s">
        <v>278</v>
      </c>
      <c r="E516" s="946">
        <f t="shared" si="163"/>
        <v>0</v>
      </c>
      <c r="F516" s="946">
        <f t="shared" si="160"/>
        <v>0</v>
      </c>
      <c r="G516" s="946">
        <f t="shared" si="164"/>
        <v>133</v>
      </c>
      <c r="H516" s="947">
        <f t="shared" si="161"/>
        <v>1463</v>
      </c>
      <c r="I516" s="947">
        <f t="shared" si="162"/>
        <v>1463</v>
      </c>
      <c r="J516" s="1066"/>
      <c r="AA516" s="459">
        <f t="shared" si="159"/>
        <v>11</v>
      </c>
      <c r="AB516" s="459">
        <f t="shared" si="159"/>
        <v>0</v>
      </c>
    </row>
    <row r="517" spans="1:28" s="344" customFormat="1" ht="26.25" customHeight="1">
      <c r="A517" s="1066" t="s">
        <v>2260</v>
      </c>
      <c r="B517" s="995" t="s">
        <v>571</v>
      </c>
      <c r="C517" s="549">
        <v>1</v>
      </c>
      <c r="D517" s="1066" t="s">
        <v>598</v>
      </c>
      <c r="E517" s="946">
        <f t="shared" si="163"/>
        <v>400</v>
      </c>
      <c r="F517" s="946">
        <f t="shared" si="160"/>
        <v>400</v>
      </c>
      <c r="G517" s="946">
        <f t="shared" si="164"/>
        <v>0</v>
      </c>
      <c r="H517" s="947">
        <f t="shared" si="161"/>
        <v>0</v>
      </c>
      <c r="I517" s="947">
        <f t="shared" si="162"/>
        <v>400</v>
      </c>
      <c r="J517" s="1066"/>
      <c r="AA517" s="459">
        <f t="shared" si="159"/>
        <v>0</v>
      </c>
      <c r="AB517" s="459">
        <f t="shared" si="159"/>
        <v>0</v>
      </c>
    </row>
    <row r="518" spans="1:28" s="344" customFormat="1" ht="26.25" customHeight="1">
      <c r="A518" s="1066" t="s">
        <v>2261</v>
      </c>
      <c r="B518" s="995" t="s">
        <v>572</v>
      </c>
      <c r="C518" s="1058">
        <v>2</v>
      </c>
      <c r="D518" s="1066" t="s">
        <v>85</v>
      </c>
      <c r="E518" s="946">
        <f t="shared" si="163"/>
        <v>56.78</v>
      </c>
      <c r="F518" s="946">
        <f t="shared" si="160"/>
        <v>113.56</v>
      </c>
      <c r="G518" s="946">
        <f t="shared" si="164"/>
        <v>0</v>
      </c>
      <c r="H518" s="947">
        <f t="shared" si="161"/>
        <v>0</v>
      </c>
      <c r="I518" s="947">
        <f t="shared" si="162"/>
        <v>113.56</v>
      </c>
      <c r="J518" s="1066"/>
      <c r="AA518" s="459">
        <f t="shared" si="159"/>
        <v>0</v>
      </c>
      <c r="AB518" s="459">
        <f t="shared" si="159"/>
        <v>0</v>
      </c>
    </row>
    <row r="519" spans="1:28" s="344" customFormat="1" ht="26.25" customHeight="1">
      <c r="A519" s="1066" t="s">
        <v>2262</v>
      </c>
      <c r="B519" s="995" t="s">
        <v>573</v>
      </c>
      <c r="C519" s="1058">
        <v>4</v>
      </c>
      <c r="D519" s="1066" t="s">
        <v>85</v>
      </c>
      <c r="E519" s="946">
        <v>33</v>
      </c>
      <c r="F519" s="946">
        <f t="shared" si="160"/>
        <v>132</v>
      </c>
      <c r="G519" s="946">
        <f t="shared" si="164"/>
        <v>0</v>
      </c>
      <c r="H519" s="947">
        <f t="shared" si="161"/>
        <v>0</v>
      </c>
      <c r="I519" s="947">
        <f t="shared" si="162"/>
        <v>132</v>
      </c>
      <c r="J519" s="1066"/>
      <c r="AA519" s="459">
        <f t="shared" si="159"/>
        <v>0</v>
      </c>
      <c r="AB519" s="459">
        <f t="shared" si="159"/>
        <v>0</v>
      </c>
    </row>
    <row r="520" spans="1:28" s="344" customFormat="1" ht="26.25" customHeight="1">
      <c r="A520" s="1089"/>
      <c r="B520" s="563" t="s">
        <v>1323</v>
      </c>
      <c r="C520" s="1090"/>
      <c r="D520" s="1089"/>
      <c r="E520" s="1091"/>
      <c r="F520" s="1091"/>
      <c r="G520" s="1091"/>
      <c r="H520" s="1092"/>
      <c r="I520" s="1093">
        <f>SUM(I512:I519)</f>
        <v>13605.75</v>
      </c>
      <c r="J520" s="1089"/>
      <c r="AA520" s="459"/>
      <c r="AB520" s="459"/>
    </row>
    <row r="521" spans="1:28" s="344" customFormat="1" ht="26.25" customHeight="1">
      <c r="A521" s="1084" t="s">
        <v>1157</v>
      </c>
      <c r="B521" s="1085" t="s">
        <v>1020</v>
      </c>
      <c r="C521" s="1086"/>
      <c r="D521" s="1084"/>
      <c r="E521" s="1087"/>
      <c r="F521" s="1088"/>
      <c r="G521" s="1087"/>
      <c r="H521" s="1088"/>
      <c r="I521" s="1088"/>
      <c r="J521" s="1084"/>
      <c r="AA521" s="459">
        <f t="shared" si="159"/>
        <v>0</v>
      </c>
      <c r="AB521" s="459">
        <f t="shared" si="159"/>
        <v>0</v>
      </c>
    </row>
    <row r="522" spans="1:28" s="344" customFormat="1" ht="26.25" customHeight="1">
      <c r="A522" s="1066" t="s">
        <v>2263</v>
      </c>
      <c r="B522" s="995" t="s">
        <v>567</v>
      </c>
      <c r="C522" s="1058">
        <v>1</v>
      </c>
      <c r="D522" s="1066" t="s">
        <v>545</v>
      </c>
      <c r="E522" s="946">
        <v>2420</v>
      </c>
      <c r="F522" s="946">
        <f t="shared" ref="F522:F529" si="165">E522*C522</f>
        <v>2420</v>
      </c>
      <c r="G522" s="946">
        <v>306</v>
      </c>
      <c r="H522" s="947">
        <f t="shared" ref="H522:H529" si="166">G522*C522</f>
        <v>306</v>
      </c>
      <c r="I522" s="947">
        <f t="shared" ref="I522:I529" si="167">H522+F522</f>
        <v>2726</v>
      </c>
      <c r="J522" s="1066"/>
      <c r="AA522" s="459">
        <f t="shared" si="159"/>
        <v>0</v>
      </c>
      <c r="AB522" s="459">
        <f t="shared" si="159"/>
        <v>0</v>
      </c>
    </row>
    <row r="523" spans="1:28" s="344" customFormat="1" ht="26.25" customHeight="1">
      <c r="A523" s="1066" t="s">
        <v>2264</v>
      </c>
      <c r="B523" s="995" t="s">
        <v>576</v>
      </c>
      <c r="C523" s="1058">
        <v>9</v>
      </c>
      <c r="D523" s="1066" t="s">
        <v>85</v>
      </c>
      <c r="E523" s="946">
        <v>26.03</v>
      </c>
      <c r="F523" s="946">
        <f t="shared" si="165"/>
        <v>234.27</v>
      </c>
      <c r="G523" s="946">
        <v>4.0999999999999996</v>
      </c>
      <c r="H523" s="947">
        <f t="shared" si="166"/>
        <v>36.9</v>
      </c>
      <c r="I523" s="947">
        <f t="shared" si="167"/>
        <v>271.17</v>
      </c>
      <c r="J523" s="1066"/>
      <c r="AA523" s="459">
        <f t="shared" si="159"/>
        <v>0</v>
      </c>
      <c r="AB523" s="459">
        <f t="shared" si="159"/>
        <v>0</v>
      </c>
    </row>
    <row r="524" spans="1:28" s="344" customFormat="1" ht="26.25" customHeight="1">
      <c r="A524" s="1066" t="s">
        <v>2265</v>
      </c>
      <c r="B524" s="995" t="s">
        <v>574</v>
      </c>
      <c r="C524" s="549">
        <v>52</v>
      </c>
      <c r="D524" s="1066" t="s">
        <v>85</v>
      </c>
      <c r="E524" s="946">
        <v>26.36</v>
      </c>
      <c r="F524" s="946">
        <f t="shared" si="165"/>
        <v>1370.72</v>
      </c>
      <c r="G524" s="946">
        <v>3.3</v>
      </c>
      <c r="H524" s="947">
        <f t="shared" si="166"/>
        <v>171.6</v>
      </c>
      <c r="I524" s="947">
        <f t="shared" si="167"/>
        <v>1542.32</v>
      </c>
      <c r="J524" s="1066"/>
      <c r="AA524" s="459">
        <f t="shared" si="159"/>
        <v>0</v>
      </c>
      <c r="AB524" s="459">
        <f t="shared" si="159"/>
        <v>0</v>
      </c>
    </row>
    <row r="525" spans="1:28" s="344" customFormat="1" ht="26.25" customHeight="1">
      <c r="A525" s="1066" t="s">
        <v>2266</v>
      </c>
      <c r="B525" s="995" t="s">
        <v>570</v>
      </c>
      <c r="C525" s="549">
        <f>C526*0.025*35.31</f>
        <v>7.0620000000000012</v>
      </c>
      <c r="D525" s="1066" t="s">
        <v>598</v>
      </c>
      <c r="E525" s="946">
        <f t="shared" ref="E525:E528" si="168">VLOOKUP(B525,$O$2:$Q$13,2,0)</f>
        <v>400</v>
      </c>
      <c r="F525" s="946">
        <f t="shared" si="165"/>
        <v>2824.8000000000006</v>
      </c>
      <c r="G525" s="946">
        <f t="shared" ref="G525:G529" si="169">VLOOKUP(B525,$O$2:$Q$13,3,0)</f>
        <v>0</v>
      </c>
      <c r="H525" s="947">
        <f t="shared" si="166"/>
        <v>0</v>
      </c>
      <c r="I525" s="947">
        <f t="shared" si="167"/>
        <v>2824.8000000000006</v>
      </c>
      <c r="J525" s="1066"/>
      <c r="AA525" s="459">
        <f t="shared" si="159"/>
        <v>0</v>
      </c>
      <c r="AB525" s="459">
        <f t="shared" si="159"/>
        <v>0</v>
      </c>
    </row>
    <row r="526" spans="1:28" s="344" customFormat="1" ht="26.25" customHeight="1">
      <c r="A526" s="1066" t="s">
        <v>2267</v>
      </c>
      <c r="B526" s="995" t="s">
        <v>1036</v>
      </c>
      <c r="C526" s="549">
        <v>8</v>
      </c>
      <c r="D526" s="1066" t="s">
        <v>278</v>
      </c>
      <c r="E526" s="946">
        <f t="shared" si="168"/>
        <v>0</v>
      </c>
      <c r="F526" s="946">
        <f t="shared" si="165"/>
        <v>0</v>
      </c>
      <c r="G526" s="946">
        <f t="shared" si="169"/>
        <v>133</v>
      </c>
      <c r="H526" s="947">
        <f t="shared" si="166"/>
        <v>1064</v>
      </c>
      <c r="I526" s="947">
        <f t="shared" si="167"/>
        <v>1064</v>
      </c>
      <c r="J526" s="1066"/>
      <c r="AA526" s="459">
        <f t="shared" si="159"/>
        <v>8</v>
      </c>
      <c r="AB526" s="459">
        <f t="shared" si="159"/>
        <v>0</v>
      </c>
    </row>
    <row r="527" spans="1:28" s="344" customFormat="1" ht="26.25" customHeight="1">
      <c r="A527" s="1066" t="s">
        <v>2268</v>
      </c>
      <c r="B527" s="995" t="s">
        <v>571</v>
      </c>
      <c r="C527" s="549">
        <v>1</v>
      </c>
      <c r="D527" s="1066" t="s">
        <v>598</v>
      </c>
      <c r="E527" s="946">
        <f t="shared" si="168"/>
        <v>400</v>
      </c>
      <c r="F527" s="946">
        <f t="shared" si="165"/>
        <v>400</v>
      </c>
      <c r="G527" s="946">
        <f t="shared" si="169"/>
        <v>0</v>
      </c>
      <c r="H527" s="947">
        <f t="shared" si="166"/>
        <v>0</v>
      </c>
      <c r="I527" s="947">
        <f t="shared" si="167"/>
        <v>400</v>
      </c>
      <c r="J527" s="1066"/>
      <c r="AA527" s="459">
        <f t="shared" si="159"/>
        <v>0</v>
      </c>
      <c r="AB527" s="459">
        <f t="shared" si="159"/>
        <v>0</v>
      </c>
    </row>
    <row r="528" spans="1:28" s="344" customFormat="1" ht="26.25" customHeight="1">
      <c r="A528" s="1066" t="s">
        <v>2269</v>
      </c>
      <c r="B528" s="995" t="s">
        <v>572</v>
      </c>
      <c r="C528" s="1058">
        <v>1</v>
      </c>
      <c r="D528" s="1066" t="s">
        <v>85</v>
      </c>
      <c r="E528" s="946">
        <f t="shared" si="168"/>
        <v>56.78</v>
      </c>
      <c r="F528" s="946">
        <f t="shared" si="165"/>
        <v>56.78</v>
      </c>
      <c r="G528" s="946">
        <f t="shared" si="169"/>
        <v>0</v>
      </c>
      <c r="H528" s="947">
        <f t="shared" si="166"/>
        <v>0</v>
      </c>
      <c r="I528" s="947">
        <f t="shared" si="167"/>
        <v>56.78</v>
      </c>
      <c r="J528" s="1066"/>
      <c r="AA528" s="459">
        <f t="shared" si="159"/>
        <v>0</v>
      </c>
      <c r="AB528" s="459">
        <f t="shared" si="159"/>
        <v>0</v>
      </c>
    </row>
    <row r="529" spans="1:28" s="344" customFormat="1" ht="26.25" customHeight="1">
      <c r="A529" s="1066" t="s">
        <v>2270</v>
      </c>
      <c r="B529" s="995" t="s">
        <v>573</v>
      </c>
      <c r="C529" s="1058">
        <v>2</v>
      </c>
      <c r="D529" s="1066" t="s">
        <v>85</v>
      </c>
      <c r="E529" s="946">
        <v>33</v>
      </c>
      <c r="F529" s="946">
        <f t="shared" si="165"/>
        <v>66</v>
      </c>
      <c r="G529" s="946">
        <f t="shared" si="169"/>
        <v>0</v>
      </c>
      <c r="H529" s="947">
        <f t="shared" si="166"/>
        <v>0</v>
      </c>
      <c r="I529" s="947">
        <f t="shared" si="167"/>
        <v>66</v>
      </c>
      <c r="J529" s="1066"/>
      <c r="K529" s="462"/>
      <c r="AA529" s="459">
        <f t="shared" si="159"/>
        <v>0</v>
      </c>
      <c r="AB529" s="459">
        <f t="shared" si="159"/>
        <v>0</v>
      </c>
    </row>
    <row r="530" spans="1:28" s="344" customFormat="1" ht="26.25" customHeight="1">
      <c r="A530" s="1089"/>
      <c r="B530" s="563" t="s">
        <v>1343</v>
      </c>
      <c r="C530" s="1090"/>
      <c r="D530" s="1089"/>
      <c r="E530" s="1091"/>
      <c r="F530" s="1091"/>
      <c r="G530" s="1091"/>
      <c r="H530" s="1092"/>
      <c r="I530" s="1093">
        <f>SUM(I522:I529)</f>
        <v>8951.0700000000015</v>
      </c>
      <c r="J530" s="1089"/>
      <c r="K530" s="462"/>
      <c r="AA530" s="459"/>
      <c r="AB530" s="459"/>
    </row>
    <row r="531" spans="1:28" s="344" customFormat="1" ht="26.25" customHeight="1">
      <c r="A531" s="1072"/>
      <c r="B531" s="551" t="s">
        <v>1279</v>
      </c>
      <c r="C531" s="1071"/>
      <c r="D531" s="1072"/>
      <c r="E531" s="1094"/>
      <c r="F531" s="1094"/>
      <c r="G531" s="1094"/>
      <c r="H531" s="1081"/>
      <c r="I531" s="1095">
        <f>I490+I500+I510+I520+I530</f>
        <v>320156.94</v>
      </c>
      <c r="J531" s="1072"/>
      <c r="K531" s="462"/>
      <c r="AA531" s="459"/>
      <c r="AB531" s="459"/>
    </row>
    <row r="532" spans="1:28" s="344" customFormat="1" ht="26.25" customHeight="1">
      <c r="A532" s="1099">
        <v>2.11</v>
      </c>
      <c r="B532" s="1096" t="s">
        <v>592</v>
      </c>
      <c r="C532" s="1053"/>
      <c r="D532" s="1054"/>
      <c r="E532" s="1055"/>
      <c r="F532" s="1056"/>
      <c r="G532" s="994"/>
      <c r="H532" s="1056"/>
      <c r="I532" s="1056"/>
      <c r="J532" s="1057"/>
      <c r="AA532" s="459">
        <f t="shared" si="159"/>
        <v>0</v>
      </c>
      <c r="AB532" s="459">
        <f t="shared" si="159"/>
        <v>0</v>
      </c>
    </row>
    <row r="533" spans="1:28" s="344" customFormat="1" ht="25.9" customHeight="1">
      <c r="A533" s="1084" t="s">
        <v>1158</v>
      </c>
      <c r="B533" s="1085" t="s">
        <v>557</v>
      </c>
      <c r="C533" s="1086"/>
      <c r="D533" s="1084"/>
      <c r="E533" s="1087"/>
      <c r="F533" s="1088"/>
      <c r="G533" s="1087"/>
      <c r="H533" s="1088"/>
      <c r="I533" s="1088"/>
      <c r="J533" s="1084"/>
      <c r="AA533" s="459">
        <f t="shared" si="159"/>
        <v>0</v>
      </c>
      <c r="AB533" s="459">
        <f t="shared" si="159"/>
        <v>0</v>
      </c>
    </row>
    <row r="534" spans="1:28" s="344" customFormat="1" ht="26.25" customHeight="1">
      <c r="A534" s="1066" t="s">
        <v>2271</v>
      </c>
      <c r="B534" s="995" t="s">
        <v>567</v>
      </c>
      <c r="C534" s="1058">
        <v>6</v>
      </c>
      <c r="D534" s="1066" t="s">
        <v>545</v>
      </c>
      <c r="E534" s="946">
        <v>2420</v>
      </c>
      <c r="F534" s="946">
        <f t="shared" ref="F534:F541" si="170">E534*C534</f>
        <v>14520</v>
      </c>
      <c r="G534" s="946">
        <v>306</v>
      </c>
      <c r="H534" s="947">
        <f t="shared" ref="H534:H541" si="171">G534*C534</f>
        <v>1836</v>
      </c>
      <c r="I534" s="947">
        <f t="shared" ref="I534:I541" si="172">H534+F534</f>
        <v>16356</v>
      </c>
      <c r="J534" s="1066"/>
      <c r="AA534" s="459">
        <f t="shared" si="159"/>
        <v>0</v>
      </c>
      <c r="AB534" s="459">
        <f t="shared" si="159"/>
        <v>0</v>
      </c>
    </row>
    <row r="535" spans="1:28" s="344" customFormat="1" ht="26.25" customHeight="1">
      <c r="A535" s="1066" t="s">
        <v>2272</v>
      </c>
      <c r="B535" s="995" t="s">
        <v>576</v>
      </c>
      <c r="C535" s="1058">
        <v>93</v>
      </c>
      <c r="D535" s="1066" t="s">
        <v>85</v>
      </c>
      <c r="E535" s="946">
        <v>26.03</v>
      </c>
      <c r="F535" s="946">
        <f t="shared" si="170"/>
        <v>2420.79</v>
      </c>
      <c r="G535" s="946">
        <v>4.0999999999999996</v>
      </c>
      <c r="H535" s="947">
        <f t="shared" si="171"/>
        <v>381.29999999999995</v>
      </c>
      <c r="I535" s="947">
        <f t="shared" si="172"/>
        <v>2802.09</v>
      </c>
      <c r="J535" s="1066"/>
      <c r="AA535" s="459">
        <f t="shared" si="159"/>
        <v>0</v>
      </c>
      <c r="AB535" s="459">
        <f t="shared" si="159"/>
        <v>0</v>
      </c>
    </row>
    <row r="536" spans="1:28" s="344" customFormat="1" ht="26.25" customHeight="1">
      <c r="A536" s="1066" t="s">
        <v>2273</v>
      </c>
      <c r="B536" s="995" t="s">
        <v>574</v>
      </c>
      <c r="C536" s="549">
        <v>399</v>
      </c>
      <c r="D536" s="1066" t="s">
        <v>85</v>
      </c>
      <c r="E536" s="946">
        <v>26.36</v>
      </c>
      <c r="F536" s="946">
        <f t="shared" si="170"/>
        <v>10517.64</v>
      </c>
      <c r="G536" s="946">
        <v>3.3</v>
      </c>
      <c r="H536" s="947">
        <f t="shared" si="171"/>
        <v>1316.6999999999998</v>
      </c>
      <c r="I536" s="947">
        <f t="shared" si="172"/>
        <v>11834.34</v>
      </c>
      <c r="J536" s="1066"/>
      <c r="AA536" s="459">
        <f t="shared" si="159"/>
        <v>0</v>
      </c>
      <c r="AB536" s="459">
        <f t="shared" si="159"/>
        <v>0</v>
      </c>
    </row>
    <row r="537" spans="1:28" s="344" customFormat="1" ht="26.25" customHeight="1">
      <c r="A537" s="1066" t="s">
        <v>2274</v>
      </c>
      <c r="B537" s="995" t="s">
        <v>570</v>
      </c>
      <c r="C537" s="549">
        <f>C538*0.025*35.31</f>
        <v>60.027000000000008</v>
      </c>
      <c r="D537" s="1066" t="s">
        <v>598</v>
      </c>
      <c r="E537" s="946">
        <f t="shared" ref="E537:E540" si="173">VLOOKUP(B537,$O$2:$Q$13,2,0)</f>
        <v>400</v>
      </c>
      <c r="F537" s="946">
        <f t="shared" si="170"/>
        <v>24010.800000000003</v>
      </c>
      <c r="G537" s="946">
        <f t="shared" ref="G537:G541" si="174">VLOOKUP(B537,$O$2:$Q$13,3,0)</f>
        <v>0</v>
      </c>
      <c r="H537" s="947">
        <f t="shared" si="171"/>
        <v>0</v>
      </c>
      <c r="I537" s="947">
        <f t="shared" si="172"/>
        <v>24010.800000000003</v>
      </c>
      <c r="J537" s="1066"/>
      <c r="AA537" s="459">
        <f t="shared" si="159"/>
        <v>0</v>
      </c>
      <c r="AB537" s="459">
        <f t="shared" si="159"/>
        <v>0</v>
      </c>
    </row>
    <row r="538" spans="1:28" s="344" customFormat="1" ht="26.25" customHeight="1">
      <c r="A538" s="1066" t="s">
        <v>2275</v>
      </c>
      <c r="B538" s="995" t="s">
        <v>1036</v>
      </c>
      <c r="C538" s="549">
        <v>68</v>
      </c>
      <c r="D538" s="1066" t="s">
        <v>278</v>
      </c>
      <c r="E538" s="946">
        <f t="shared" si="173"/>
        <v>0</v>
      </c>
      <c r="F538" s="946">
        <f t="shared" si="170"/>
        <v>0</v>
      </c>
      <c r="G538" s="946">
        <f t="shared" si="174"/>
        <v>133</v>
      </c>
      <c r="H538" s="947">
        <f t="shared" si="171"/>
        <v>9044</v>
      </c>
      <c r="I538" s="947">
        <f t="shared" si="172"/>
        <v>9044</v>
      </c>
      <c r="J538" s="1066"/>
      <c r="AA538" s="459">
        <f t="shared" si="159"/>
        <v>68</v>
      </c>
      <c r="AB538" s="459">
        <f t="shared" si="159"/>
        <v>0</v>
      </c>
    </row>
    <row r="539" spans="1:28" s="344" customFormat="1" ht="26.25" customHeight="1">
      <c r="A539" s="1066" t="s">
        <v>2276</v>
      </c>
      <c r="B539" s="995" t="s">
        <v>571</v>
      </c>
      <c r="C539" s="549">
        <v>6</v>
      </c>
      <c r="D539" s="1066" t="s">
        <v>598</v>
      </c>
      <c r="E539" s="946">
        <f t="shared" si="173"/>
        <v>400</v>
      </c>
      <c r="F539" s="946">
        <f t="shared" si="170"/>
        <v>2400</v>
      </c>
      <c r="G539" s="946">
        <f t="shared" si="174"/>
        <v>0</v>
      </c>
      <c r="H539" s="947">
        <f t="shared" si="171"/>
        <v>0</v>
      </c>
      <c r="I539" s="947">
        <f t="shared" si="172"/>
        <v>2400</v>
      </c>
      <c r="J539" s="1066"/>
      <c r="AA539" s="459">
        <f t="shared" si="159"/>
        <v>0</v>
      </c>
      <c r="AB539" s="459">
        <f t="shared" si="159"/>
        <v>0</v>
      </c>
    </row>
    <row r="540" spans="1:28" s="344" customFormat="1" ht="26.25" customHeight="1">
      <c r="A540" s="1066" t="s">
        <v>2277</v>
      </c>
      <c r="B540" s="995" t="s">
        <v>572</v>
      </c>
      <c r="C540" s="1058">
        <v>8</v>
      </c>
      <c r="D540" s="1066" t="s">
        <v>85</v>
      </c>
      <c r="E540" s="946">
        <f t="shared" si="173"/>
        <v>56.78</v>
      </c>
      <c r="F540" s="946">
        <f t="shared" si="170"/>
        <v>454.24</v>
      </c>
      <c r="G540" s="946">
        <f t="shared" si="174"/>
        <v>0</v>
      </c>
      <c r="H540" s="947">
        <f t="shared" si="171"/>
        <v>0</v>
      </c>
      <c r="I540" s="947">
        <f t="shared" si="172"/>
        <v>454.24</v>
      </c>
      <c r="J540" s="1066"/>
      <c r="AA540" s="459">
        <f t="shared" si="159"/>
        <v>0</v>
      </c>
      <c r="AB540" s="459">
        <f t="shared" si="159"/>
        <v>0</v>
      </c>
    </row>
    <row r="541" spans="1:28" s="344" customFormat="1" ht="26.25" customHeight="1">
      <c r="A541" s="1066" t="s">
        <v>2278</v>
      </c>
      <c r="B541" s="995" t="s">
        <v>573</v>
      </c>
      <c r="C541" s="1058">
        <v>15</v>
      </c>
      <c r="D541" s="1066" t="s">
        <v>85</v>
      </c>
      <c r="E541" s="946">
        <v>33</v>
      </c>
      <c r="F541" s="946">
        <f t="shared" si="170"/>
        <v>495</v>
      </c>
      <c r="G541" s="946">
        <f t="shared" si="174"/>
        <v>0</v>
      </c>
      <c r="H541" s="947">
        <f t="shared" si="171"/>
        <v>0</v>
      </c>
      <c r="I541" s="947">
        <f t="shared" si="172"/>
        <v>495</v>
      </c>
      <c r="J541" s="1066"/>
      <c r="AA541" s="459">
        <f t="shared" si="159"/>
        <v>0</v>
      </c>
      <c r="AB541" s="459">
        <f t="shared" si="159"/>
        <v>0</v>
      </c>
    </row>
    <row r="542" spans="1:28" s="344" customFormat="1" ht="26.25" customHeight="1">
      <c r="A542" s="1089"/>
      <c r="B542" s="563" t="s">
        <v>1325</v>
      </c>
      <c r="C542" s="1090"/>
      <c r="D542" s="1089"/>
      <c r="E542" s="1091"/>
      <c r="F542" s="1091"/>
      <c r="G542" s="1091"/>
      <c r="H542" s="1092"/>
      <c r="I542" s="1093">
        <f>SUM(I534:I541)</f>
        <v>67396.470000000016</v>
      </c>
      <c r="J542" s="1089"/>
      <c r="AA542" s="459"/>
      <c r="AB542" s="459"/>
    </row>
    <row r="543" spans="1:28" s="344" customFormat="1" ht="26.25" customHeight="1">
      <c r="A543" s="1084" t="s">
        <v>1159</v>
      </c>
      <c r="B543" s="1085" t="s">
        <v>588</v>
      </c>
      <c r="C543" s="1086"/>
      <c r="D543" s="1084"/>
      <c r="E543" s="1087"/>
      <c r="F543" s="1088"/>
      <c r="G543" s="1087"/>
      <c r="H543" s="1088"/>
      <c r="I543" s="1088"/>
      <c r="J543" s="1084"/>
      <c r="AA543" s="459">
        <f t="shared" si="159"/>
        <v>0</v>
      </c>
      <c r="AB543" s="459">
        <f t="shared" si="159"/>
        <v>0</v>
      </c>
    </row>
    <row r="544" spans="1:28" s="344" customFormat="1" ht="26.25" customHeight="1">
      <c r="A544" s="1066" t="s">
        <v>2279</v>
      </c>
      <c r="B544" s="995" t="s">
        <v>567</v>
      </c>
      <c r="C544" s="1058">
        <v>23</v>
      </c>
      <c r="D544" s="1066" t="s">
        <v>545</v>
      </c>
      <c r="E544" s="946">
        <v>2420</v>
      </c>
      <c r="F544" s="946">
        <f t="shared" ref="F544:F551" si="175">E544*C544</f>
        <v>55660</v>
      </c>
      <c r="G544" s="946">
        <v>306</v>
      </c>
      <c r="H544" s="947">
        <f t="shared" ref="H544:H551" si="176">G544*C544</f>
        <v>7038</v>
      </c>
      <c r="I544" s="947">
        <f t="shared" ref="I544:I551" si="177">H544+F544</f>
        <v>62698</v>
      </c>
      <c r="J544" s="1066"/>
      <c r="AA544" s="459">
        <f t="shared" si="159"/>
        <v>0</v>
      </c>
      <c r="AB544" s="459">
        <f t="shared" si="159"/>
        <v>0</v>
      </c>
    </row>
    <row r="545" spans="1:28" s="344" customFormat="1" ht="26.25" customHeight="1">
      <c r="A545" s="1066" t="s">
        <v>2280</v>
      </c>
      <c r="B545" s="995" t="s">
        <v>568</v>
      </c>
      <c r="C545" s="1058">
        <v>697</v>
      </c>
      <c r="D545" s="1066" t="s">
        <v>85</v>
      </c>
      <c r="E545" s="946">
        <v>25.09</v>
      </c>
      <c r="F545" s="946">
        <f t="shared" si="175"/>
        <v>17487.73</v>
      </c>
      <c r="G545" s="946">
        <v>4.0999999999999996</v>
      </c>
      <c r="H545" s="947">
        <f t="shared" si="176"/>
        <v>2857.7</v>
      </c>
      <c r="I545" s="947">
        <f t="shared" si="177"/>
        <v>20345.43</v>
      </c>
      <c r="J545" s="1066"/>
      <c r="AA545" s="459">
        <f t="shared" si="159"/>
        <v>0</v>
      </c>
      <c r="AB545" s="459">
        <f t="shared" si="159"/>
        <v>0</v>
      </c>
    </row>
    <row r="546" spans="1:28" s="344" customFormat="1" ht="26.25" customHeight="1">
      <c r="A546" s="1066" t="s">
        <v>2281</v>
      </c>
      <c r="B546" s="995" t="s">
        <v>574</v>
      </c>
      <c r="C546" s="549">
        <v>1829</v>
      </c>
      <c r="D546" s="1066" t="s">
        <v>85</v>
      </c>
      <c r="E546" s="946">
        <v>26.36</v>
      </c>
      <c r="F546" s="946">
        <f t="shared" si="175"/>
        <v>48212.44</v>
      </c>
      <c r="G546" s="946">
        <v>3.3</v>
      </c>
      <c r="H546" s="947">
        <f t="shared" si="176"/>
        <v>6035.7</v>
      </c>
      <c r="I546" s="947">
        <f t="shared" si="177"/>
        <v>54248.14</v>
      </c>
      <c r="J546" s="1066"/>
      <c r="AA546" s="459">
        <f t="shared" ref="AA546:AB585" si="178">IF($B546=AA$1,$C546,0)</f>
        <v>0</v>
      </c>
      <c r="AB546" s="459">
        <f t="shared" si="178"/>
        <v>0</v>
      </c>
    </row>
    <row r="547" spans="1:28" s="344" customFormat="1" ht="26.25" customHeight="1">
      <c r="A547" s="1066" t="s">
        <v>2282</v>
      </c>
      <c r="B547" s="995" t="s">
        <v>570</v>
      </c>
      <c r="C547" s="549">
        <f>C548*0.025*35.31</f>
        <v>191.55675000000005</v>
      </c>
      <c r="D547" s="1066" t="s">
        <v>598</v>
      </c>
      <c r="E547" s="946">
        <f t="shared" ref="E547:E550" si="179">VLOOKUP(B547,$O$2:$Q$13,2,0)</f>
        <v>400</v>
      </c>
      <c r="F547" s="946">
        <f t="shared" si="175"/>
        <v>76622.700000000026</v>
      </c>
      <c r="G547" s="946">
        <f t="shared" ref="G547:G551" si="180">VLOOKUP(B547,$O$2:$Q$13,3,0)</f>
        <v>0</v>
      </c>
      <c r="H547" s="947">
        <f t="shared" si="176"/>
        <v>0</v>
      </c>
      <c r="I547" s="947">
        <f t="shared" si="177"/>
        <v>76622.700000000026</v>
      </c>
      <c r="J547" s="1066"/>
      <c r="AA547" s="459">
        <f t="shared" si="178"/>
        <v>0</v>
      </c>
      <c r="AB547" s="459">
        <f t="shared" si="178"/>
        <v>0</v>
      </c>
    </row>
    <row r="548" spans="1:28" s="344" customFormat="1" ht="26.25" customHeight="1">
      <c r="A548" s="1066" t="s">
        <v>2283</v>
      </c>
      <c r="B548" s="995" t="s">
        <v>1036</v>
      </c>
      <c r="C548" s="549">
        <v>217</v>
      </c>
      <c r="D548" s="1066" t="s">
        <v>278</v>
      </c>
      <c r="E548" s="946">
        <f t="shared" si="179"/>
        <v>0</v>
      </c>
      <c r="F548" s="946">
        <f t="shared" si="175"/>
        <v>0</v>
      </c>
      <c r="G548" s="946">
        <f t="shared" si="180"/>
        <v>133</v>
      </c>
      <c r="H548" s="947">
        <f t="shared" si="176"/>
        <v>28861</v>
      </c>
      <c r="I548" s="947">
        <f t="shared" si="177"/>
        <v>28861</v>
      </c>
      <c r="J548" s="1066"/>
      <c r="AA548" s="459">
        <f t="shared" si="178"/>
        <v>217</v>
      </c>
      <c r="AB548" s="459">
        <f t="shared" si="178"/>
        <v>0</v>
      </c>
    </row>
    <row r="549" spans="1:28" s="344" customFormat="1" ht="26.25" customHeight="1">
      <c r="A549" s="1066" t="s">
        <v>2284</v>
      </c>
      <c r="B549" s="995" t="s">
        <v>571</v>
      </c>
      <c r="C549" s="549">
        <v>18</v>
      </c>
      <c r="D549" s="1066" t="s">
        <v>598</v>
      </c>
      <c r="E549" s="946">
        <f t="shared" si="179"/>
        <v>400</v>
      </c>
      <c r="F549" s="946">
        <f t="shared" si="175"/>
        <v>7200</v>
      </c>
      <c r="G549" s="946">
        <f t="shared" si="180"/>
        <v>0</v>
      </c>
      <c r="H549" s="947">
        <f t="shared" si="176"/>
        <v>0</v>
      </c>
      <c r="I549" s="947">
        <f t="shared" si="177"/>
        <v>7200</v>
      </c>
      <c r="J549" s="1066"/>
      <c r="AA549" s="459">
        <f t="shared" si="178"/>
        <v>0</v>
      </c>
      <c r="AB549" s="459">
        <f t="shared" si="178"/>
        <v>0</v>
      </c>
    </row>
    <row r="550" spans="1:28" s="344" customFormat="1" ht="26.25" customHeight="1">
      <c r="A550" s="1066" t="s">
        <v>2285</v>
      </c>
      <c r="B550" s="995" t="s">
        <v>572</v>
      </c>
      <c r="C550" s="1058">
        <v>26</v>
      </c>
      <c r="D550" s="1066" t="s">
        <v>85</v>
      </c>
      <c r="E550" s="946">
        <f t="shared" si="179"/>
        <v>56.78</v>
      </c>
      <c r="F550" s="946">
        <f t="shared" si="175"/>
        <v>1476.28</v>
      </c>
      <c r="G550" s="946">
        <f t="shared" si="180"/>
        <v>0</v>
      </c>
      <c r="H550" s="947">
        <f t="shared" si="176"/>
        <v>0</v>
      </c>
      <c r="I550" s="947">
        <f t="shared" si="177"/>
        <v>1476.28</v>
      </c>
      <c r="J550" s="1066"/>
      <c r="AA550" s="459">
        <f t="shared" si="178"/>
        <v>0</v>
      </c>
      <c r="AB550" s="459">
        <f t="shared" si="178"/>
        <v>0</v>
      </c>
    </row>
    <row r="551" spans="1:28" s="344" customFormat="1" ht="26.25" customHeight="1">
      <c r="A551" s="1066" t="s">
        <v>2286</v>
      </c>
      <c r="B551" s="995" t="s">
        <v>573</v>
      </c>
      <c r="C551" s="1058">
        <v>76</v>
      </c>
      <c r="D551" s="1066" t="s">
        <v>85</v>
      </c>
      <c r="E551" s="946">
        <v>33</v>
      </c>
      <c r="F551" s="946">
        <f t="shared" si="175"/>
        <v>2508</v>
      </c>
      <c r="G551" s="946">
        <f t="shared" si="180"/>
        <v>0</v>
      </c>
      <c r="H551" s="947">
        <f t="shared" si="176"/>
        <v>0</v>
      </c>
      <c r="I551" s="947">
        <f t="shared" si="177"/>
        <v>2508</v>
      </c>
      <c r="J551" s="1066"/>
      <c r="AA551" s="459">
        <f t="shared" si="178"/>
        <v>0</v>
      </c>
      <c r="AB551" s="459">
        <f t="shared" si="178"/>
        <v>0</v>
      </c>
    </row>
    <row r="552" spans="1:28" s="344" customFormat="1" ht="26.25" customHeight="1">
      <c r="A552" s="1089"/>
      <c r="B552" s="563" t="s">
        <v>1328</v>
      </c>
      <c r="C552" s="1090"/>
      <c r="D552" s="1089"/>
      <c r="E552" s="1091"/>
      <c r="F552" s="1091"/>
      <c r="G552" s="1091"/>
      <c r="H552" s="1092"/>
      <c r="I552" s="1093">
        <f>SUM(I544:I551)</f>
        <v>253959.55000000002</v>
      </c>
      <c r="J552" s="1089"/>
      <c r="AA552" s="459"/>
      <c r="AB552" s="459"/>
    </row>
    <row r="553" spans="1:28" s="344" customFormat="1" ht="26.25" customHeight="1">
      <c r="A553" s="1084" t="s">
        <v>1160</v>
      </c>
      <c r="B553" s="1085" t="s">
        <v>1013</v>
      </c>
      <c r="C553" s="1086"/>
      <c r="D553" s="1084"/>
      <c r="E553" s="1087"/>
      <c r="F553" s="1088"/>
      <c r="G553" s="1087"/>
      <c r="H553" s="1088"/>
      <c r="I553" s="1088"/>
      <c r="J553" s="1084"/>
      <c r="AA553" s="459">
        <f t="shared" si="178"/>
        <v>0</v>
      </c>
      <c r="AB553" s="459">
        <f t="shared" si="178"/>
        <v>0</v>
      </c>
    </row>
    <row r="554" spans="1:28" s="344" customFormat="1" ht="26.25" customHeight="1">
      <c r="A554" s="1066" t="s">
        <v>2287</v>
      </c>
      <c r="B554" s="995" t="s">
        <v>567</v>
      </c>
      <c r="C554" s="1058">
        <v>4</v>
      </c>
      <c r="D554" s="1066" t="s">
        <v>545</v>
      </c>
      <c r="E554" s="946">
        <v>2420</v>
      </c>
      <c r="F554" s="946">
        <f t="shared" ref="F554:F561" si="181">E554*C554</f>
        <v>9680</v>
      </c>
      <c r="G554" s="946">
        <v>306</v>
      </c>
      <c r="H554" s="947">
        <f t="shared" ref="H554:H561" si="182">G554*C554</f>
        <v>1224</v>
      </c>
      <c r="I554" s="947">
        <f t="shared" ref="I554:I561" si="183">H554+F554</f>
        <v>10904</v>
      </c>
      <c r="J554" s="1066"/>
      <c r="AA554" s="459">
        <f t="shared" si="178"/>
        <v>0</v>
      </c>
      <c r="AB554" s="459">
        <f t="shared" si="178"/>
        <v>0</v>
      </c>
    </row>
    <row r="555" spans="1:28" s="344" customFormat="1" ht="26.25" customHeight="1">
      <c r="A555" s="1066" t="s">
        <v>2288</v>
      </c>
      <c r="B555" s="995" t="s">
        <v>576</v>
      </c>
      <c r="C555" s="1058">
        <v>51</v>
      </c>
      <c r="D555" s="1066" t="s">
        <v>85</v>
      </c>
      <c r="E555" s="946">
        <v>26.03</v>
      </c>
      <c r="F555" s="946">
        <f t="shared" si="181"/>
        <v>1327.53</v>
      </c>
      <c r="G555" s="946">
        <v>4.0999999999999996</v>
      </c>
      <c r="H555" s="947">
        <f t="shared" si="182"/>
        <v>209.1</v>
      </c>
      <c r="I555" s="947">
        <f t="shared" si="183"/>
        <v>1536.6299999999999</v>
      </c>
      <c r="J555" s="1066"/>
      <c r="AA555" s="459">
        <f t="shared" si="178"/>
        <v>0</v>
      </c>
      <c r="AB555" s="459">
        <f t="shared" si="178"/>
        <v>0</v>
      </c>
    </row>
    <row r="556" spans="1:28" s="344" customFormat="1" ht="26.25" customHeight="1">
      <c r="A556" s="1066" t="s">
        <v>2289</v>
      </c>
      <c r="B556" s="995" t="s">
        <v>574</v>
      </c>
      <c r="C556" s="549">
        <v>271</v>
      </c>
      <c r="D556" s="1066" t="s">
        <v>85</v>
      </c>
      <c r="E556" s="946">
        <v>26.36</v>
      </c>
      <c r="F556" s="946">
        <f t="shared" si="181"/>
        <v>7143.5599999999995</v>
      </c>
      <c r="G556" s="946">
        <v>3.3</v>
      </c>
      <c r="H556" s="947">
        <f t="shared" si="182"/>
        <v>894.3</v>
      </c>
      <c r="I556" s="947">
        <f t="shared" si="183"/>
        <v>8037.86</v>
      </c>
      <c r="J556" s="1066"/>
      <c r="AA556" s="459">
        <f t="shared" si="178"/>
        <v>0</v>
      </c>
      <c r="AB556" s="459">
        <f t="shared" si="178"/>
        <v>0</v>
      </c>
    </row>
    <row r="557" spans="1:28" s="344" customFormat="1" ht="25.9" customHeight="1">
      <c r="A557" s="1066" t="s">
        <v>2290</v>
      </c>
      <c r="B557" s="995" t="s">
        <v>570</v>
      </c>
      <c r="C557" s="549">
        <f>C558*0.025*35.31</f>
        <v>32.661750000000005</v>
      </c>
      <c r="D557" s="1066" t="s">
        <v>598</v>
      </c>
      <c r="E557" s="946">
        <f t="shared" ref="E557:E560" si="184">VLOOKUP(B557,$O$2:$Q$13,2,0)</f>
        <v>400</v>
      </c>
      <c r="F557" s="946">
        <f t="shared" si="181"/>
        <v>13064.700000000003</v>
      </c>
      <c r="G557" s="946">
        <f t="shared" ref="G557:G561" si="185">VLOOKUP(B557,$O$2:$Q$13,3,0)</f>
        <v>0</v>
      </c>
      <c r="H557" s="947">
        <f t="shared" si="182"/>
        <v>0</v>
      </c>
      <c r="I557" s="947">
        <f t="shared" si="183"/>
        <v>13064.700000000003</v>
      </c>
      <c r="J557" s="1066"/>
      <c r="AA557" s="459">
        <f t="shared" si="178"/>
        <v>0</v>
      </c>
      <c r="AB557" s="459">
        <f t="shared" si="178"/>
        <v>0</v>
      </c>
    </row>
    <row r="558" spans="1:28" s="344" customFormat="1" ht="25.9" customHeight="1">
      <c r="A558" s="1066" t="s">
        <v>2291</v>
      </c>
      <c r="B558" s="995" t="s">
        <v>1036</v>
      </c>
      <c r="C558" s="549">
        <v>37</v>
      </c>
      <c r="D558" s="1066" t="s">
        <v>278</v>
      </c>
      <c r="E558" s="946">
        <f t="shared" si="184"/>
        <v>0</v>
      </c>
      <c r="F558" s="946">
        <f t="shared" si="181"/>
        <v>0</v>
      </c>
      <c r="G558" s="946">
        <f t="shared" si="185"/>
        <v>133</v>
      </c>
      <c r="H558" s="947">
        <f t="shared" si="182"/>
        <v>4921</v>
      </c>
      <c r="I558" s="947">
        <f t="shared" si="183"/>
        <v>4921</v>
      </c>
      <c r="J558" s="1066"/>
      <c r="AA558" s="459">
        <f t="shared" si="178"/>
        <v>37</v>
      </c>
      <c r="AB558" s="459">
        <f t="shared" si="178"/>
        <v>0</v>
      </c>
    </row>
    <row r="559" spans="1:28" s="344" customFormat="1" ht="26.25" customHeight="1">
      <c r="A559" s="1066" t="s">
        <v>2292</v>
      </c>
      <c r="B559" s="995" t="s">
        <v>571</v>
      </c>
      <c r="C559" s="549">
        <v>4</v>
      </c>
      <c r="D559" s="1066" t="s">
        <v>598</v>
      </c>
      <c r="E559" s="946">
        <f t="shared" si="184"/>
        <v>400</v>
      </c>
      <c r="F559" s="946">
        <f t="shared" si="181"/>
        <v>1600</v>
      </c>
      <c r="G559" s="946">
        <f t="shared" si="185"/>
        <v>0</v>
      </c>
      <c r="H559" s="947">
        <f t="shared" si="182"/>
        <v>0</v>
      </c>
      <c r="I559" s="947">
        <f t="shared" si="183"/>
        <v>1600</v>
      </c>
      <c r="J559" s="1066"/>
      <c r="AA559" s="459">
        <f t="shared" si="178"/>
        <v>0</v>
      </c>
      <c r="AB559" s="459">
        <f t="shared" si="178"/>
        <v>0</v>
      </c>
    </row>
    <row r="560" spans="1:28" s="344" customFormat="1" ht="26.25" customHeight="1">
      <c r="A560" s="1066" t="s">
        <v>2293</v>
      </c>
      <c r="B560" s="995" t="s">
        <v>572</v>
      </c>
      <c r="C560" s="1058">
        <v>4</v>
      </c>
      <c r="D560" s="1066" t="s">
        <v>85</v>
      </c>
      <c r="E560" s="946">
        <f t="shared" si="184"/>
        <v>56.78</v>
      </c>
      <c r="F560" s="946">
        <f t="shared" si="181"/>
        <v>227.12</v>
      </c>
      <c r="G560" s="946">
        <f t="shared" si="185"/>
        <v>0</v>
      </c>
      <c r="H560" s="947">
        <f t="shared" si="182"/>
        <v>0</v>
      </c>
      <c r="I560" s="947">
        <f t="shared" si="183"/>
        <v>227.12</v>
      </c>
      <c r="J560" s="1066"/>
      <c r="AA560" s="459">
        <f t="shared" si="178"/>
        <v>0</v>
      </c>
      <c r="AB560" s="459">
        <f t="shared" si="178"/>
        <v>0</v>
      </c>
    </row>
    <row r="561" spans="1:28" s="344" customFormat="1" ht="26.25" customHeight="1">
      <c r="A561" s="1066" t="s">
        <v>2294</v>
      </c>
      <c r="B561" s="995" t="s">
        <v>573</v>
      </c>
      <c r="C561" s="1058">
        <v>10</v>
      </c>
      <c r="D561" s="1066" t="s">
        <v>85</v>
      </c>
      <c r="E561" s="946">
        <v>33</v>
      </c>
      <c r="F561" s="946">
        <f t="shared" si="181"/>
        <v>330</v>
      </c>
      <c r="G561" s="946">
        <f t="shared" si="185"/>
        <v>0</v>
      </c>
      <c r="H561" s="947">
        <f t="shared" si="182"/>
        <v>0</v>
      </c>
      <c r="I561" s="947">
        <f t="shared" si="183"/>
        <v>330</v>
      </c>
      <c r="J561" s="1066"/>
      <c r="AA561" s="459">
        <f t="shared" si="178"/>
        <v>0</v>
      </c>
      <c r="AB561" s="459">
        <f t="shared" si="178"/>
        <v>0</v>
      </c>
    </row>
    <row r="562" spans="1:28" s="344" customFormat="1" ht="26.25" customHeight="1">
      <c r="A562" s="1089"/>
      <c r="B562" s="563" t="s">
        <v>1344</v>
      </c>
      <c r="C562" s="1090"/>
      <c r="D562" s="1089"/>
      <c r="E562" s="1091"/>
      <c r="F562" s="1091"/>
      <c r="G562" s="1091"/>
      <c r="H562" s="1092"/>
      <c r="I562" s="1093">
        <f>SUM(I554:I561)</f>
        <v>40621.310000000005</v>
      </c>
      <c r="J562" s="1089"/>
      <c r="AA562" s="459"/>
      <c r="AB562" s="459"/>
    </row>
    <row r="563" spans="1:28" s="344" customFormat="1" ht="26.25" customHeight="1">
      <c r="A563" s="1084" t="s">
        <v>1161</v>
      </c>
      <c r="B563" s="1085" t="s">
        <v>1017</v>
      </c>
      <c r="C563" s="1086"/>
      <c r="D563" s="1084"/>
      <c r="E563" s="1087"/>
      <c r="F563" s="1088"/>
      <c r="G563" s="1087"/>
      <c r="H563" s="1088"/>
      <c r="I563" s="1088"/>
      <c r="J563" s="1084"/>
      <c r="AA563" s="459">
        <f t="shared" si="178"/>
        <v>0</v>
      </c>
      <c r="AB563" s="459">
        <f t="shared" si="178"/>
        <v>0</v>
      </c>
    </row>
    <row r="564" spans="1:28" s="344" customFormat="1" ht="26.25" customHeight="1">
      <c r="A564" s="1066" t="s">
        <v>2295</v>
      </c>
      <c r="B564" s="995" t="s">
        <v>567</v>
      </c>
      <c r="C564" s="1058">
        <v>3</v>
      </c>
      <c r="D564" s="1066" t="s">
        <v>545</v>
      </c>
      <c r="E564" s="946">
        <v>2420</v>
      </c>
      <c r="F564" s="946">
        <f t="shared" ref="F564:F571" si="186">E564*C564</f>
        <v>7260</v>
      </c>
      <c r="G564" s="946">
        <v>306</v>
      </c>
      <c r="H564" s="947">
        <f t="shared" ref="H564:H571" si="187">G564*C564</f>
        <v>918</v>
      </c>
      <c r="I564" s="947">
        <f t="shared" ref="I564:I571" si="188">H564+F564</f>
        <v>8178</v>
      </c>
      <c r="J564" s="1066"/>
      <c r="AA564" s="459">
        <f t="shared" si="178"/>
        <v>0</v>
      </c>
      <c r="AB564" s="459">
        <f t="shared" si="178"/>
        <v>0</v>
      </c>
    </row>
    <row r="565" spans="1:28" s="344" customFormat="1" ht="26.25" customHeight="1">
      <c r="A565" s="1066" t="s">
        <v>2296</v>
      </c>
      <c r="B565" s="995" t="s">
        <v>576</v>
      </c>
      <c r="C565" s="1058">
        <v>51</v>
      </c>
      <c r="D565" s="1066" t="s">
        <v>85</v>
      </c>
      <c r="E565" s="946">
        <v>26.03</v>
      </c>
      <c r="F565" s="946">
        <f t="shared" si="186"/>
        <v>1327.53</v>
      </c>
      <c r="G565" s="946">
        <v>4.0999999999999996</v>
      </c>
      <c r="H565" s="947">
        <f t="shared" si="187"/>
        <v>209.1</v>
      </c>
      <c r="I565" s="947">
        <f t="shared" si="188"/>
        <v>1536.6299999999999</v>
      </c>
      <c r="J565" s="1066"/>
      <c r="AA565" s="459">
        <f t="shared" si="178"/>
        <v>0</v>
      </c>
      <c r="AB565" s="459">
        <f t="shared" si="178"/>
        <v>0</v>
      </c>
    </row>
    <row r="566" spans="1:28" s="344" customFormat="1" ht="26.25" customHeight="1">
      <c r="A566" s="1066" t="s">
        <v>2297</v>
      </c>
      <c r="B566" s="995" t="s">
        <v>574</v>
      </c>
      <c r="C566" s="549">
        <v>201</v>
      </c>
      <c r="D566" s="1066" t="s">
        <v>85</v>
      </c>
      <c r="E566" s="946">
        <v>26.36</v>
      </c>
      <c r="F566" s="946">
        <f t="shared" si="186"/>
        <v>5298.36</v>
      </c>
      <c r="G566" s="946">
        <v>3.3</v>
      </c>
      <c r="H566" s="947">
        <f t="shared" si="187"/>
        <v>663.3</v>
      </c>
      <c r="I566" s="947">
        <f t="shared" si="188"/>
        <v>5961.66</v>
      </c>
      <c r="J566" s="1066"/>
      <c r="AA566" s="459">
        <f t="shared" si="178"/>
        <v>0</v>
      </c>
      <c r="AB566" s="459">
        <f t="shared" si="178"/>
        <v>0</v>
      </c>
    </row>
    <row r="567" spans="1:28" s="344" customFormat="1" ht="26.25" customHeight="1">
      <c r="A567" s="1066" t="s">
        <v>2298</v>
      </c>
      <c r="B567" s="995" t="s">
        <v>570</v>
      </c>
      <c r="C567" s="549">
        <f>C568*0.025*35.31</f>
        <v>25.599750000000004</v>
      </c>
      <c r="D567" s="1066" t="s">
        <v>598</v>
      </c>
      <c r="E567" s="946">
        <f t="shared" ref="E567:E570" si="189">VLOOKUP(B567,$O$2:$Q$13,2,0)</f>
        <v>400</v>
      </c>
      <c r="F567" s="946">
        <f t="shared" si="186"/>
        <v>10239.900000000001</v>
      </c>
      <c r="G567" s="946">
        <f t="shared" ref="G567:G571" si="190">VLOOKUP(B567,$O$2:$Q$13,3,0)</f>
        <v>0</v>
      </c>
      <c r="H567" s="947">
        <f t="shared" si="187"/>
        <v>0</v>
      </c>
      <c r="I567" s="947">
        <f t="shared" si="188"/>
        <v>10239.900000000001</v>
      </c>
      <c r="J567" s="1066"/>
      <c r="AA567" s="459">
        <f t="shared" si="178"/>
        <v>0</v>
      </c>
      <c r="AB567" s="459">
        <f t="shared" si="178"/>
        <v>0</v>
      </c>
    </row>
    <row r="568" spans="1:28" s="344" customFormat="1" ht="26.25" customHeight="1">
      <c r="A568" s="1066" t="s">
        <v>2299</v>
      </c>
      <c r="B568" s="995" t="s">
        <v>1036</v>
      </c>
      <c r="C568" s="549">
        <v>29</v>
      </c>
      <c r="D568" s="1066" t="s">
        <v>278</v>
      </c>
      <c r="E568" s="946">
        <f t="shared" si="189"/>
        <v>0</v>
      </c>
      <c r="F568" s="946">
        <f t="shared" si="186"/>
        <v>0</v>
      </c>
      <c r="G568" s="946">
        <f t="shared" si="190"/>
        <v>133</v>
      </c>
      <c r="H568" s="947">
        <f t="shared" si="187"/>
        <v>3857</v>
      </c>
      <c r="I568" s="947">
        <f t="shared" si="188"/>
        <v>3857</v>
      </c>
      <c r="J568" s="1066"/>
      <c r="AA568" s="459">
        <f t="shared" si="178"/>
        <v>29</v>
      </c>
      <c r="AB568" s="459">
        <f t="shared" si="178"/>
        <v>0</v>
      </c>
    </row>
    <row r="569" spans="1:28" s="344" customFormat="1" ht="26.25" customHeight="1">
      <c r="A569" s="1066" t="s">
        <v>2300</v>
      </c>
      <c r="B569" s="995" t="s">
        <v>571</v>
      </c>
      <c r="C569" s="549">
        <v>3</v>
      </c>
      <c r="D569" s="1066" t="s">
        <v>598</v>
      </c>
      <c r="E569" s="946">
        <f t="shared" si="189"/>
        <v>400</v>
      </c>
      <c r="F569" s="946">
        <f t="shared" si="186"/>
        <v>1200</v>
      </c>
      <c r="G569" s="946">
        <f t="shared" si="190"/>
        <v>0</v>
      </c>
      <c r="H569" s="947">
        <f t="shared" si="187"/>
        <v>0</v>
      </c>
      <c r="I569" s="947">
        <f t="shared" si="188"/>
        <v>1200</v>
      </c>
      <c r="J569" s="1066"/>
      <c r="AA569" s="459">
        <f t="shared" si="178"/>
        <v>0</v>
      </c>
      <c r="AB569" s="459">
        <f t="shared" si="178"/>
        <v>0</v>
      </c>
    </row>
    <row r="570" spans="1:28" s="344" customFormat="1" ht="26.25" customHeight="1">
      <c r="A570" s="1066" t="s">
        <v>2301</v>
      </c>
      <c r="B570" s="995" t="s">
        <v>572</v>
      </c>
      <c r="C570" s="1058">
        <v>3</v>
      </c>
      <c r="D570" s="1066" t="s">
        <v>85</v>
      </c>
      <c r="E570" s="946">
        <f t="shared" si="189"/>
        <v>56.78</v>
      </c>
      <c r="F570" s="946">
        <f t="shared" si="186"/>
        <v>170.34</v>
      </c>
      <c r="G570" s="946">
        <f t="shared" si="190"/>
        <v>0</v>
      </c>
      <c r="H570" s="947">
        <f t="shared" si="187"/>
        <v>0</v>
      </c>
      <c r="I570" s="947">
        <f t="shared" si="188"/>
        <v>170.34</v>
      </c>
      <c r="J570" s="1066"/>
      <c r="AA570" s="459">
        <f t="shared" si="178"/>
        <v>0</v>
      </c>
      <c r="AB570" s="459">
        <f t="shared" si="178"/>
        <v>0</v>
      </c>
    </row>
    <row r="571" spans="1:28" s="344" customFormat="1" ht="26.25" customHeight="1">
      <c r="A571" s="1066" t="s">
        <v>2302</v>
      </c>
      <c r="B571" s="995" t="s">
        <v>573</v>
      </c>
      <c r="C571" s="1058">
        <v>8</v>
      </c>
      <c r="D571" s="1066" t="s">
        <v>85</v>
      </c>
      <c r="E571" s="946">
        <v>33</v>
      </c>
      <c r="F571" s="946">
        <f t="shared" si="186"/>
        <v>264</v>
      </c>
      <c r="G571" s="946">
        <f t="shared" si="190"/>
        <v>0</v>
      </c>
      <c r="H571" s="947">
        <f t="shared" si="187"/>
        <v>0</v>
      </c>
      <c r="I571" s="947">
        <f t="shared" si="188"/>
        <v>264</v>
      </c>
      <c r="J571" s="1066"/>
      <c r="AA571" s="459">
        <f t="shared" si="178"/>
        <v>0</v>
      </c>
      <c r="AB571" s="459">
        <f t="shared" si="178"/>
        <v>0</v>
      </c>
    </row>
    <row r="572" spans="1:28" s="344" customFormat="1" ht="26.25" customHeight="1">
      <c r="A572" s="1089"/>
      <c r="B572" s="563" t="s">
        <v>1336</v>
      </c>
      <c r="C572" s="1090"/>
      <c r="D572" s="1089"/>
      <c r="E572" s="1091"/>
      <c r="F572" s="1091"/>
      <c r="G572" s="1091"/>
      <c r="H572" s="1092"/>
      <c r="I572" s="1093">
        <f>SUM(I564:I571)</f>
        <v>31407.530000000002</v>
      </c>
      <c r="J572" s="1089"/>
      <c r="AA572" s="459"/>
      <c r="AB572" s="459"/>
    </row>
    <row r="573" spans="1:28" s="344" customFormat="1" ht="26.25" customHeight="1">
      <c r="A573" s="1084" t="s">
        <v>1162</v>
      </c>
      <c r="B573" s="1085" t="s">
        <v>1018</v>
      </c>
      <c r="C573" s="1086"/>
      <c r="D573" s="1084"/>
      <c r="E573" s="1087"/>
      <c r="F573" s="1088"/>
      <c r="G573" s="1087"/>
      <c r="H573" s="1088"/>
      <c r="I573" s="1088"/>
      <c r="J573" s="1084"/>
      <c r="AA573" s="459">
        <f t="shared" si="178"/>
        <v>0</v>
      </c>
      <c r="AB573" s="459">
        <f t="shared" si="178"/>
        <v>0</v>
      </c>
    </row>
    <row r="574" spans="1:28" s="344" customFormat="1" ht="26.25" customHeight="1">
      <c r="A574" s="1066" t="s">
        <v>2303</v>
      </c>
      <c r="B574" s="995" t="s">
        <v>567</v>
      </c>
      <c r="C574" s="1058">
        <v>3</v>
      </c>
      <c r="D574" s="1066" t="s">
        <v>545</v>
      </c>
      <c r="E574" s="946">
        <v>2420</v>
      </c>
      <c r="F574" s="946">
        <f t="shared" ref="F574:F581" si="191">E574*C574</f>
        <v>7260</v>
      </c>
      <c r="G574" s="946">
        <v>306</v>
      </c>
      <c r="H574" s="947">
        <f t="shared" ref="H574:H581" si="192">G574*C574</f>
        <v>918</v>
      </c>
      <c r="I574" s="947">
        <f t="shared" ref="I574:I581" si="193">H574+F574</f>
        <v>8178</v>
      </c>
      <c r="J574" s="1066"/>
      <c r="AA574" s="459">
        <f t="shared" si="178"/>
        <v>0</v>
      </c>
      <c r="AB574" s="459">
        <f t="shared" si="178"/>
        <v>0</v>
      </c>
    </row>
    <row r="575" spans="1:28" s="344" customFormat="1" ht="26.25" customHeight="1">
      <c r="A575" s="1066" t="s">
        <v>2304</v>
      </c>
      <c r="B575" s="995" t="s">
        <v>568</v>
      </c>
      <c r="C575" s="1058">
        <v>75</v>
      </c>
      <c r="D575" s="1066" t="s">
        <v>85</v>
      </c>
      <c r="E575" s="946">
        <v>25.09</v>
      </c>
      <c r="F575" s="946">
        <f t="shared" si="191"/>
        <v>1881.75</v>
      </c>
      <c r="G575" s="946">
        <v>4.0999999999999996</v>
      </c>
      <c r="H575" s="947">
        <f t="shared" si="192"/>
        <v>307.5</v>
      </c>
      <c r="I575" s="947">
        <f t="shared" si="193"/>
        <v>2189.25</v>
      </c>
      <c r="J575" s="1066"/>
      <c r="AA575" s="459">
        <f t="shared" si="178"/>
        <v>0</v>
      </c>
      <c r="AB575" s="459">
        <f t="shared" si="178"/>
        <v>0</v>
      </c>
    </row>
    <row r="576" spans="1:28" s="344" customFormat="1" ht="26.25" customHeight="1">
      <c r="A576" s="1066" t="s">
        <v>2305</v>
      </c>
      <c r="B576" s="995" t="s">
        <v>589</v>
      </c>
      <c r="C576" s="549">
        <v>234</v>
      </c>
      <c r="D576" s="1066" t="s">
        <v>85</v>
      </c>
      <c r="E576" s="946">
        <v>26.36</v>
      </c>
      <c r="F576" s="946">
        <f t="shared" si="191"/>
        <v>6168.24</v>
      </c>
      <c r="G576" s="946">
        <v>2.9</v>
      </c>
      <c r="H576" s="947">
        <f t="shared" si="192"/>
        <v>678.6</v>
      </c>
      <c r="I576" s="947">
        <f t="shared" si="193"/>
        <v>6846.84</v>
      </c>
      <c r="J576" s="1066"/>
      <c r="AA576" s="459">
        <f t="shared" si="178"/>
        <v>0</v>
      </c>
      <c r="AB576" s="459">
        <f t="shared" si="178"/>
        <v>0</v>
      </c>
    </row>
    <row r="577" spans="1:28" s="344" customFormat="1" ht="26.25" customHeight="1">
      <c r="A577" s="1066" t="s">
        <v>2306</v>
      </c>
      <c r="B577" s="995" t="s">
        <v>570</v>
      </c>
      <c r="C577" s="549">
        <f>C578*0.025*35.31</f>
        <v>12.358500000000001</v>
      </c>
      <c r="D577" s="1066" t="s">
        <v>598</v>
      </c>
      <c r="E577" s="946">
        <f t="shared" ref="E577:E580" si="194">VLOOKUP(B577,$O$2:$Q$13,2,0)</f>
        <v>400</v>
      </c>
      <c r="F577" s="946">
        <f t="shared" si="191"/>
        <v>4943.4000000000005</v>
      </c>
      <c r="G577" s="946">
        <f t="shared" ref="G577:G581" si="195">VLOOKUP(B577,$O$2:$Q$13,3,0)</f>
        <v>0</v>
      </c>
      <c r="H577" s="947">
        <f t="shared" si="192"/>
        <v>0</v>
      </c>
      <c r="I577" s="947">
        <f t="shared" si="193"/>
        <v>4943.4000000000005</v>
      </c>
      <c r="J577" s="1066"/>
      <c r="AA577" s="459">
        <f t="shared" si="178"/>
        <v>0</v>
      </c>
      <c r="AB577" s="459">
        <f t="shared" si="178"/>
        <v>0</v>
      </c>
    </row>
    <row r="578" spans="1:28" s="344" customFormat="1" ht="26.25" customHeight="1">
      <c r="A578" s="1066" t="s">
        <v>2307</v>
      </c>
      <c r="B578" s="995" t="s">
        <v>1036</v>
      </c>
      <c r="C578" s="549">
        <v>14</v>
      </c>
      <c r="D578" s="1066" t="s">
        <v>278</v>
      </c>
      <c r="E578" s="946">
        <f t="shared" si="194"/>
        <v>0</v>
      </c>
      <c r="F578" s="946">
        <f t="shared" si="191"/>
        <v>0</v>
      </c>
      <c r="G578" s="946">
        <f t="shared" si="195"/>
        <v>133</v>
      </c>
      <c r="H578" s="947">
        <f t="shared" si="192"/>
        <v>1862</v>
      </c>
      <c r="I578" s="947">
        <f t="shared" si="193"/>
        <v>1862</v>
      </c>
      <c r="J578" s="1066"/>
      <c r="AA578" s="459">
        <f t="shared" si="178"/>
        <v>14</v>
      </c>
      <c r="AB578" s="459">
        <f t="shared" si="178"/>
        <v>0</v>
      </c>
    </row>
    <row r="579" spans="1:28" s="344" customFormat="1" ht="26.25" customHeight="1">
      <c r="A579" s="1066" t="s">
        <v>2308</v>
      </c>
      <c r="B579" s="995" t="s">
        <v>571</v>
      </c>
      <c r="C579" s="549">
        <v>2</v>
      </c>
      <c r="D579" s="1066" t="s">
        <v>598</v>
      </c>
      <c r="E579" s="946">
        <f t="shared" si="194"/>
        <v>400</v>
      </c>
      <c r="F579" s="946">
        <f t="shared" si="191"/>
        <v>800</v>
      </c>
      <c r="G579" s="946">
        <f t="shared" si="195"/>
        <v>0</v>
      </c>
      <c r="H579" s="947">
        <f t="shared" si="192"/>
        <v>0</v>
      </c>
      <c r="I579" s="947">
        <f t="shared" si="193"/>
        <v>800</v>
      </c>
      <c r="J579" s="1066"/>
      <c r="AA579" s="459">
        <f t="shared" si="178"/>
        <v>0</v>
      </c>
      <c r="AB579" s="459">
        <f t="shared" si="178"/>
        <v>0</v>
      </c>
    </row>
    <row r="580" spans="1:28" s="344" customFormat="1" ht="26.25" customHeight="1">
      <c r="A580" s="1066" t="s">
        <v>2309</v>
      </c>
      <c r="B580" s="995" t="s">
        <v>572</v>
      </c>
      <c r="C580" s="1058">
        <v>8</v>
      </c>
      <c r="D580" s="1066" t="s">
        <v>85</v>
      </c>
      <c r="E580" s="946">
        <f t="shared" si="194"/>
        <v>56.78</v>
      </c>
      <c r="F580" s="946">
        <f t="shared" si="191"/>
        <v>454.24</v>
      </c>
      <c r="G580" s="946">
        <f t="shared" si="195"/>
        <v>0</v>
      </c>
      <c r="H580" s="947">
        <f t="shared" si="192"/>
        <v>0</v>
      </c>
      <c r="I580" s="947">
        <f t="shared" si="193"/>
        <v>454.24</v>
      </c>
      <c r="J580" s="1066"/>
      <c r="AA580" s="459">
        <f t="shared" si="178"/>
        <v>0</v>
      </c>
      <c r="AB580" s="459">
        <f t="shared" si="178"/>
        <v>0</v>
      </c>
    </row>
    <row r="581" spans="1:28" s="344" customFormat="1" ht="26.25" customHeight="1">
      <c r="A581" s="1066" t="s">
        <v>2310</v>
      </c>
      <c r="B581" s="995" t="s">
        <v>573</v>
      </c>
      <c r="C581" s="1058">
        <v>9</v>
      </c>
      <c r="D581" s="1066" t="s">
        <v>85</v>
      </c>
      <c r="E581" s="946">
        <v>33</v>
      </c>
      <c r="F581" s="946">
        <f t="shared" si="191"/>
        <v>297</v>
      </c>
      <c r="G581" s="946">
        <f t="shared" si="195"/>
        <v>0</v>
      </c>
      <c r="H581" s="947">
        <f t="shared" si="192"/>
        <v>0</v>
      </c>
      <c r="I581" s="947">
        <f t="shared" si="193"/>
        <v>297</v>
      </c>
      <c r="J581" s="1066"/>
      <c r="AA581" s="459">
        <f t="shared" si="178"/>
        <v>0</v>
      </c>
      <c r="AB581" s="459">
        <f t="shared" si="178"/>
        <v>0</v>
      </c>
    </row>
    <row r="582" spans="1:28" s="344" customFormat="1" ht="26.25" customHeight="1">
      <c r="A582" s="1089"/>
      <c r="B582" s="563" t="s">
        <v>1350</v>
      </c>
      <c r="C582" s="1090"/>
      <c r="D582" s="1089"/>
      <c r="E582" s="1091"/>
      <c r="F582" s="1091"/>
      <c r="G582" s="1091"/>
      <c r="H582" s="1092"/>
      <c r="I582" s="1093">
        <f>SUM(I574:I581)</f>
        <v>25570.730000000003</v>
      </c>
      <c r="J582" s="1089"/>
      <c r="AA582" s="459"/>
      <c r="AB582" s="459"/>
    </row>
    <row r="583" spans="1:28" s="344" customFormat="1" ht="26.25" customHeight="1">
      <c r="A583" s="1084" t="s">
        <v>1163</v>
      </c>
      <c r="B583" s="1085" t="s">
        <v>1021</v>
      </c>
      <c r="C583" s="1086"/>
      <c r="D583" s="1084"/>
      <c r="E583" s="1087"/>
      <c r="F583" s="1088"/>
      <c r="G583" s="1087"/>
      <c r="H583" s="1088"/>
      <c r="I583" s="1088"/>
      <c r="J583" s="1084"/>
      <c r="AA583" s="459">
        <f t="shared" si="178"/>
        <v>0</v>
      </c>
      <c r="AB583" s="459">
        <f t="shared" si="178"/>
        <v>0</v>
      </c>
    </row>
    <row r="584" spans="1:28" s="344" customFormat="1" ht="26.25" customHeight="1">
      <c r="A584" s="1066" t="s">
        <v>2311</v>
      </c>
      <c r="B584" s="995" t="s">
        <v>567</v>
      </c>
      <c r="C584" s="1058">
        <v>6</v>
      </c>
      <c r="D584" s="1066" t="s">
        <v>545</v>
      </c>
      <c r="E584" s="946">
        <v>2420</v>
      </c>
      <c r="F584" s="946">
        <f t="shared" ref="F584:F591" si="196">E584*C584</f>
        <v>14520</v>
      </c>
      <c r="G584" s="946">
        <v>306</v>
      </c>
      <c r="H584" s="947">
        <f t="shared" ref="H584:H591" si="197">G584*C584</f>
        <v>1836</v>
      </c>
      <c r="I584" s="947">
        <f t="shared" ref="I584:I591" si="198">H584+F584</f>
        <v>16356</v>
      </c>
      <c r="J584" s="1066"/>
      <c r="AA584" s="459">
        <f t="shared" si="178"/>
        <v>0</v>
      </c>
      <c r="AB584" s="459">
        <f t="shared" si="178"/>
        <v>0</v>
      </c>
    </row>
    <row r="585" spans="1:28" s="344" customFormat="1" ht="26.25" customHeight="1">
      <c r="A585" s="1066" t="s">
        <v>2312</v>
      </c>
      <c r="B585" s="995" t="s">
        <v>576</v>
      </c>
      <c r="C585" s="1058">
        <v>71</v>
      </c>
      <c r="D585" s="1066" t="s">
        <v>85</v>
      </c>
      <c r="E585" s="946">
        <v>26.03</v>
      </c>
      <c r="F585" s="946">
        <f t="shared" si="196"/>
        <v>1848.13</v>
      </c>
      <c r="G585" s="946">
        <v>4.0999999999999996</v>
      </c>
      <c r="H585" s="947">
        <f t="shared" si="197"/>
        <v>291.09999999999997</v>
      </c>
      <c r="I585" s="947">
        <f t="shared" si="198"/>
        <v>2139.23</v>
      </c>
      <c r="J585" s="1066"/>
      <c r="AA585" s="459">
        <f t="shared" si="178"/>
        <v>0</v>
      </c>
      <c r="AB585" s="459">
        <f t="shared" si="178"/>
        <v>0</v>
      </c>
    </row>
    <row r="586" spans="1:28" s="344" customFormat="1" ht="26.25" customHeight="1">
      <c r="A586" s="1066" t="s">
        <v>2313</v>
      </c>
      <c r="B586" s="995" t="s">
        <v>574</v>
      </c>
      <c r="C586" s="549">
        <v>378</v>
      </c>
      <c r="D586" s="1066" t="s">
        <v>85</v>
      </c>
      <c r="E586" s="946">
        <v>26.36</v>
      </c>
      <c r="F586" s="946">
        <f t="shared" si="196"/>
        <v>9964.08</v>
      </c>
      <c r="G586" s="946">
        <v>3.3</v>
      </c>
      <c r="H586" s="947">
        <f t="shared" si="197"/>
        <v>1247.3999999999999</v>
      </c>
      <c r="I586" s="947">
        <f t="shared" si="198"/>
        <v>11211.48</v>
      </c>
      <c r="J586" s="1066"/>
      <c r="AA586" s="459">
        <f t="shared" ref="AA586:AB626" si="199">IF($B586=AA$1,$C586,0)</f>
        <v>0</v>
      </c>
      <c r="AB586" s="459">
        <f t="shared" si="199"/>
        <v>0</v>
      </c>
    </row>
    <row r="587" spans="1:28" s="344" customFormat="1" ht="26.25" customHeight="1">
      <c r="A587" s="1066" t="s">
        <v>2314</v>
      </c>
      <c r="B587" s="995" t="s">
        <v>570</v>
      </c>
      <c r="C587" s="549">
        <f>C588*0.025*35.31</f>
        <v>45.903000000000006</v>
      </c>
      <c r="D587" s="1066" t="s">
        <v>598</v>
      </c>
      <c r="E587" s="946">
        <f t="shared" ref="E587:E590" si="200">VLOOKUP(B587,$O$2:$Q$13,2,0)</f>
        <v>400</v>
      </c>
      <c r="F587" s="946">
        <f t="shared" si="196"/>
        <v>18361.2</v>
      </c>
      <c r="G587" s="946">
        <f t="shared" ref="G587:G591" si="201">VLOOKUP(B587,$O$2:$Q$13,3,0)</f>
        <v>0</v>
      </c>
      <c r="H587" s="947">
        <f t="shared" si="197"/>
        <v>0</v>
      </c>
      <c r="I587" s="947">
        <f t="shared" si="198"/>
        <v>18361.2</v>
      </c>
      <c r="J587" s="1066"/>
      <c r="AA587" s="459">
        <f t="shared" si="199"/>
        <v>0</v>
      </c>
      <c r="AB587" s="459">
        <f t="shared" si="199"/>
        <v>0</v>
      </c>
    </row>
    <row r="588" spans="1:28" s="344" customFormat="1" ht="26.25" customHeight="1">
      <c r="A588" s="1066" t="s">
        <v>2315</v>
      </c>
      <c r="B588" s="995" t="s">
        <v>1036</v>
      </c>
      <c r="C588" s="549">
        <v>52</v>
      </c>
      <c r="D588" s="1066" t="s">
        <v>278</v>
      </c>
      <c r="E588" s="946">
        <f t="shared" si="200"/>
        <v>0</v>
      </c>
      <c r="F588" s="946">
        <f t="shared" si="196"/>
        <v>0</v>
      </c>
      <c r="G588" s="946">
        <f t="shared" si="201"/>
        <v>133</v>
      </c>
      <c r="H588" s="947">
        <f t="shared" si="197"/>
        <v>6916</v>
      </c>
      <c r="I588" s="947">
        <f t="shared" si="198"/>
        <v>6916</v>
      </c>
      <c r="J588" s="1066"/>
      <c r="AA588" s="459">
        <f t="shared" si="199"/>
        <v>52</v>
      </c>
      <c r="AB588" s="459">
        <f t="shared" si="199"/>
        <v>0</v>
      </c>
    </row>
    <row r="589" spans="1:28" s="344" customFormat="1" ht="26.25" customHeight="1">
      <c r="A589" s="1066" t="s">
        <v>2316</v>
      </c>
      <c r="B589" s="995" t="s">
        <v>571</v>
      </c>
      <c r="C589" s="549">
        <v>5</v>
      </c>
      <c r="D589" s="1066" t="s">
        <v>598</v>
      </c>
      <c r="E589" s="946">
        <f t="shared" si="200"/>
        <v>400</v>
      </c>
      <c r="F589" s="946">
        <f t="shared" si="196"/>
        <v>2000</v>
      </c>
      <c r="G589" s="946">
        <f t="shared" si="201"/>
        <v>0</v>
      </c>
      <c r="H589" s="947">
        <f t="shared" si="197"/>
        <v>0</v>
      </c>
      <c r="I589" s="947">
        <f t="shared" si="198"/>
        <v>2000</v>
      </c>
      <c r="J589" s="1066"/>
      <c r="AA589" s="459">
        <f t="shared" si="199"/>
        <v>0</v>
      </c>
      <c r="AB589" s="459">
        <f t="shared" si="199"/>
        <v>0</v>
      </c>
    </row>
    <row r="590" spans="1:28" s="344" customFormat="1" ht="26.25" customHeight="1">
      <c r="A590" s="1066" t="s">
        <v>2317</v>
      </c>
      <c r="B590" s="995" t="s">
        <v>572</v>
      </c>
      <c r="C590" s="1058">
        <v>6</v>
      </c>
      <c r="D590" s="1066" t="s">
        <v>85</v>
      </c>
      <c r="E590" s="946">
        <f t="shared" si="200"/>
        <v>56.78</v>
      </c>
      <c r="F590" s="946">
        <f t="shared" si="196"/>
        <v>340.68</v>
      </c>
      <c r="G590" s="946">
        <f t="shared" si="201"/>
        <v>0</v>
      </c>
      <c r="H590" s="947">
        <f t="shared" si="197"/>
        <v>0</v>
      </c>
      <c r="I590" s="947">
        <f t="shared" si="198"/>
        <v>340.68</v>
      </c>
      <c r="J590" s="1066"/>
      <c r="AA590" s="459">
        <f t="shared" si="199"/>
        <v>0</v>
      </c>
      <c r="AB590" s="459">
        <f t="shared" si="199"/>
        <v>0</v>
      </c>
    </row>
    <row r="591" spans="1:28" s="344" customFormat="1" ht="26.25" customHeight="1">
      <c r="A591" s="1066" t="s">
        <v>2318</v>
      </c>
      <c r="B591" s="995" t="s">
        <v>573</v>
      </c>
      <c r="C591" s="1058">
        <v>14</v>
      </c>
      <c r="D591" s="1066" t="s">
        <v>85</v>
      </c>
      <c r="E591" s="946">
        <v>33</v>
      </c>
      <c r="F591" s="946">
        <f t="shared" si="196"/>
        <v>462</v>
      </c>
      <c r="G591" s="946">
        <f t="shared" si="201"/>
        <v>0</v>
      </c>
      <c r="H591" s="947">
        <f t="shared" si="197"/>
        <v>0</v>
      </c>
      <c r="I591" s="947">
        <f t="shared" si="198"/>
        <v>462</v>
      </c>
      <c r="J591" s="1066"/>
      <c r="AA591" s="459">
        <f t="shared" si="199"/>
        <v>0</v>
      </c>
      <c r="AB591" s="459">
        <f t="shared" si="199"/>
        <v>0</v>
      </c>
    </row>
    <row r="592" spans="1:28" s="344" customFormat="1" ht="26.25" customHeight="1">
      <c r="A592" s="1089"/>
      <c r="B592" s="563" t="s">
        <v>1345</v>
      </c>
      <c r="C592" s="1090"/>
      <c r="D592" s="1089"/>
      <c r="E592" s="1091"/>
      <c r="F592" s="1091"/>
      <c r="G592" s="1091"/>
      <c r="H592" s="1092"/>
      <c r="I592" s="1093">
        <f>SUM(I584:I591)</f>
        <v>57786.590000000004</v>
      </c>
      <c r="J592" s="1089"/>
      <c r="AA592" s="459"/>
      <c r="AB592" s="459"/>
    </row>
    <row r="593" spans="1:28" s="344" customFormat="1" ht="26.25" customHeight="1">
      <c r="A593" s="1084" t="s">
        <v>1164</v>
      </c>
      <c r="B593" s="1085" t="s">
        <v>1022</v>
      </c>
      <c r="C593" s="1086"/>
      <c r="D593" s="1084"/>
      <c r="E593" s="1087"/>
      <c r="F593" s="1088"/>
      <c r="G593" s="1087"/>
      <c r="H593" s="1088"/>
      <c r="I593" s="1088"/>
      <c r="J593" s="1084"/>
      <c r="AA593" s="459">
        <f t="shared" si="199"/>
        <v>0</v>
      </c>
      <c r="AB593" s="459">
        <f t="shared" si="199"/>
        <v>0</v>
      </c>
    </row>
    <row r="594" spans="1:28" s="344" customFormat="1" ht="26.25" customHeight="1">
      <c r="A594" s="1066" t="s">
        <v>2319</v>
      </c>
      <c r="B594" s="995" t="s">
        <v>567</v>
      </c>
      <c r="C594" s="1058">
        <v>9</v>
      </c>
      <c r="D594" s="1066" t="s">
        <v>545</v>
      </c>
      <c r="E594" s="946">
        <v>2420</v>
      </c>
      <c r="F594" s="946">
        <f t="shared" ref="F594:F601" si="202">E594*C594</f>
        <v>21780</v>
      </c>
      <c r="G594" s="946">
        <v>306</v>
      </c>
      <c r="H594" s="947">
        <f t="shared" ref="H594:H601" si="203">G594*C594</f>
        <v>2754</v>
      </c>
      <c r="I594" s="947">
        <f t="shared" ref="I594:I601" si="204">H594+F594</f>
        <v>24534</v>
      </c>
      <c r="J594" s="1066"/>
      <c r="AA594" s="459">
        <f t="shared" si="199"/>
        <v>0</v>
      </c>
      <c r="AB594" s="459">
        <f t="shared" si="199"/>
        <v>0</v>
      </c>
    </row>
    <row r="595" spans="1:28" s="344" customFormat="1" ht="26.25" customHeight="1">
      <c r="A595" s="1066" t="s">
        <v>2320</v>
      </c>
      <c r="B595" s="995" t="s">
        <v>568</v>
      </c>
      <c r="C595" s="1058">
        <v>340</v>
      </c>
      <c r="D595" s="1066" t="s">
        <v>85</v>
      </c>
      <c r="E595" s="946">
        <v>25.09</v>
      </c>
      <c r="F595" s="946">
        <f t="shared" si="202"/>
        <v>8530.6</v>
      </c>
      <c r="G595" s="946">
        <v>4.0999999999999996</v>
      </c>
      <c r="H595" s="947">
        <f t="shared" si="203"/>
        <v>1393.9999999999998</v>
      </c>
      <c r="I595" s="947">
        <f t="shared" si="204"/>
        <v>9924.6</v>
      </c>
      <c r="J595" s="1066"/>
      <c r="AA595" s="459">
        <f t="shared" si="199"/>
        <v>0</v>
      </c>
      <c r="AB595" s="459">
        <f t="shared" si="199"/>
        <v>0</v>
      </c>
    </row>
    <row r="596" spans="1:28" s="344" customFormat="1" ht="26.25" customHeight="1">
      <c r="A596" s="1066" t="s">
        <v>2321</v>
      </c>
      <c r="B596" s="995" t="s">
        <v>589</v>
      </c>
      <c r="C596" s="549">
        <v>936</v>
      </c>
      <c r="D596" s="1066" t="s">
        <v>85</v>
      </c>
      <c r="E596" s="946">
        <v>26.36</v>
      </c>
      <c r="F596" s="946">
        <f t="shared" si="202"/>
        <v>24672.959999999999</v>
      </c>
      <c r="G596" s="946">
        <v>2.9</v>
      </c>
      <c r="H596" s="947">
        <f t="shared" si="203"/>
        <v>2714.4</v>
      </c>
      <c r="I596" s="947">
        <f t="shared" si="204"/>
        <v>27387.360000000001</v>
      </c>
      <c r="J596" s="1066"/>
      <c r="AA596" s="459">
        <f t="shared" si="199"/>
        <v>0</v>
      </c>
      <c r="AB596" s="459">
        <f t="shared" si="199"/>
        <v>0</v>
      </c>
    </row>
    <row r="597" spans="1:28" s="344" customFormat="1" ht="26.25" customHeight="1">
      <c r="A597" s="1066" t="s">
        <v>2322</v>
      </c>
      <c r="B597" s="995" t="s">
        <v>570</v>
      </c>
      <c r="C597" s="549">
        <f>C598*0.025*35.31</f>
        <v>71.502750000000006</v>
      </c>
      <c r="D597" s="1066" t="s">
        <v>598</v>
      </c>
      <c r="E597" s="946">
        <f t="shared" ref="E597:E600" si="205">VLOOKUP(B597,$O$2:$Q$13,2,0)</f>
        <v>400</v>
      </c>
      <c r="F597" s="946">
        <f t="shared" si="202"/>
        <v>28601.100000000002</v>
      </c>
      <c r="G597" s="946">
        <f t="shared" ref="G597:G601" si="206">VLOOKUP(B597,$O$2:$Q$13,3,0)</f>
        <v>0</v>
      </c>
      <c r="H597" s="947">
        <f t="shared" si="203"/>
        <v>0</v>
      </c>
      <c r="I597" s="947">
        <f t="shared" si="204"/>
        <v>28601.100000000002</v>
      </c>
      <c r="J597" s="1066"/>
      <c r="AA597" s="459">
        <f t="shared" si="199"/>
        <v>0</v>
      </c>
      <c r="AB597" s="459">
        <f t="shared" si="199"/>
        <v>0</v>
      </c>
    </row>
    <row r="598" spans="1:28" s="344" customFormat="1" ht="26.25" customHeight="1">
      <c r="A598" s="1066" t="s">
        <v>2323</v>
      </c>
      <c r="B598" s="995" t="s">
        <v>1036</v>
      </c>
      <c r="C598" s="549">
        <v>81</v>
      </c>
      <c r="D598" s="1066" t="s">
        <v>278</v>
      </c>
      <c r="E598" s="946">
        <f t="shared" si="205"/>
        <v>0</v>
      </c>
      <c r="F598" s="946">
        <f t="shared" si="202"/>
        <v>0</v>
      </c>
      <c r="G598" s="946">
        <f t="shared" si="206"/>
        <v>133</v>
      </c>
      <c r="H598" s="947">
        <f t="shared" si="203"/>
        <v>10773</v>
      </c>
      <c r="I598" s="947">
        <f t="shared" si="204"/>
        <v>10773</v>
      </c>
      <c r="J598" s="1066"/>
      <c r="AA598" s="459">
        <f t="shared" si="199"/>
        <v>81</v>
      </c>
      <c r="AB598" s="459">
        <f t="shared" si="199"/>
        <v>0</v>
      </c>
    </row>
    <row r="599" spans="1:28" s="344" customFormat="1" ht="26.25" customHeight="1">
      <c r="A599" s="1066" t="s">
        <v>2324</v>
      </c>
      <c r="B599" s="995" t="s">
        <v>571</v>
      </c>
      <c r="C599" s="549">
        <v>7</v>
      </c>
      <c r="D599" s="1066" t="s">
        <v>598</v>
      </c>
      <c r="E599" s="946">
        <f t="shared" si="205"/>
        <v>400</v>
      </c>
      <c r="F599" s="946">
        <f t="shared" si="202"/>
        <v>2800</v>
      </c>
      <c r="G599" s="946">
        <f t="shared" si="206"/>
        <v>0</v>
      </c>
      <c r="H599" s="947">
        <f t="shared" si="203"/>
        <v>0</v>
      </c>
      <c r="I599" s="947">
        <f t="shared" si="204"/>
        <v>2800</v>
      </c>
      <c r="J599" s="1066"/>
      <c r="AA599" s="459">
        <f t="shared" si="199"/>
        <v>0</v>
      </c>
      <c r="AB599" s="459">
        <f t="shared" si="199"/>
        <v>0</v>
      </c>
    </row>
    <row r="600" spans="1:28" s="344" customFormat="1" ht="26.25" customHeight="1">
      <c r="A600" s="1066" t="s">
        <v>2325</v>
      </c>
      <c r="B600" s="995" t="s">
        <v>572</v>
      </c>
      <c r="C600" s="1058">
        <v>10</v>
      </c>
      <c r="D600" s="1066" t="s">
        <v>85</v>
      </c>
      <c r="E600" s="946">
        <f t="shared" si="205"/>
        <v>56.78</v>
      </c>
      <c r="F600" s="946">
        <f t="shared" si="202"/>
        <v>567.79999999999995</v>
      </c>
      <c r="G600" s="946">
        <f t="shared" si="206"/>
        <v>0</v>
      </c>
      <c r="H600" s="947">
        <f t="shared" si="203"/>
        <v>0</v>
      </c>
      <c r="I600" s="947">
        <f t="shared" si="204"/>
        <v>567.79999999999995</v>
      </c>
      <c r="J600" s="1066"/>
      <c r="AA600" s="459">
        <f t="shared" si="199"/>
        <v>0</v>
      </c>
      <c r="AB600" s="459">
        <f t="shared" si="199"/>
        <v>0</v>
      </c>
    </row>
    <row r="601" spans="1:28" s="344" customFormat="1" ht="26.25" customHeight="1">
      <c r="A601" s="1066" t="s">
        <v>2326</v>
      </c>
      <c r="B601" s="995" t="s">
        <v>573</v>
      </c>
      <c r="C601" s="1058">
        <v>38</v>
      </c>
      <c r="D601" s="1066" t="s">
        <v>85</v>
      </c>
      <c r="E601" s="946">
        <v>33</v>
      </c>
      <c r="F601" s="946">
        <f t="shared" si="202"/>
        <v>1254</v>
      </c>
      <c r="G601" s="946">
        <f t="shared" si="206"/>
        <v>0</v>
      </c>
      <c r="H601" s="947">
        <f t="shared" si="203"/>
        <v>0</v>
      </c>
      <c r="I601" s="947">
        <f t="shared" si="204"/>
        <v>1254</v>
      </c>
      <c r="J601" s="1066"/>
      <c r="AA601" s="459">
        <f t="shared" si="199"/>
        <v>0</v>
      </c>
      <c r="AB601" s="459">
        <f t="shared" si="199"/>
        <v>0</v>
      </c>
    </row>
    <row r="602" spans="1:28" s="344" customFormat="1" ht="26.25" customHeight="1">
      <c r="A602" s="1089"/>
      <c r="B602" s="563" t="s">
        <v>1346</v>
      </c>
      <c r="C602" s="1090"/>
      <c r="D602" s="1089"/>
      <c r="E602" s="1091"/>
      <c r="F602" s="1091"/>
      <c r="G602" s="1091"/>
      <c r="H602" s="1092"/>
      <c r="I602" s="1093">
        <f>SUM(I594:I601)</f>
        <v>105841.86</v>
      </c>
      <c r="J602" s="1089"/>
      <c r="AA602" s="459"/>
      <c r="AB602" s="459"/>
    </row>
    <row r="603" spans="1:28" s="344" customFormat="1" ht="26.25" customHeight="1">
      <c r="A603" s="1084" t="s">
        <v>1165</v>
      </c>
      <c r="B603" s="1085" t="s">
        <v>1024</v>
      </c>
      <c r="C603" s="1086"/>
      <c r="D603" s="1084"/>
      <c r="E603" s="1087"/>
      <c r="F603" s="1088"/>
      <c r="G603" s="1087"/>
      <c r="H603" s="1088"/>
      <c r="I603" s="1088"/>
      <c r="J603" s="1084"/>
      <c r="AA603" s="459">
        <f t="shared" si="199"/>
        <v>0</v>
      </c>
      <c r="AB603" s="459">
        <f t="shared" si="199"/>
        <v>0</v>
      </c>
    </row>
    <row r="604" spans="1:28" s="344" customFormat="1" ht="26.25" customHeight="1">
      <c r="A604" s="1066" t="s">
        <v>2327</v>
      </c>
      <c r="B604" s="995" t="s">
        <v>567</v>
      </c>
      <c r="C604" s="1058">
        <v>5</v>
      </c>
      <c r="D604" s="1066" t="s">
        <v>545</v>
      </c>
      <c r="E604" s="946">
        <v>2420</v>
      </c>
      <c r="F604" s="946">
        <f t="shared" ref="F604:F611" si="207">E604*C604</f>
        <v>12100</v>
      </c>
      <c r="G604" s="946">
        <v>306</v>
      </c>
      <c r="H604" s="947">
        <f t="shared" ref="H604:H611" si="208">G604*C604</f>
        <v>1530</v>
      </c>
      <c r="I604" s="947">
        <f t="shared" ref="I604:I611" si="209">H604+F604</f>
        <v>13630</v>
      </c>
      <c r="J604" s="1066"/>
      <c r="AA604" s="459">
        <f t="shared" si="199"/>
        <v>0</v>
      </c>
      <c r="AB604" s="459">
        <f t="shared" si="199"/>
        <v>0</v>
      </c>
    </row>
    <row r="605" spans="1:28" s="344" customFormat="1" ht="26.25" customHeight="1">
      <c r="A605" s="1066" t="s">
        <v>2328</v>
      </c>
      <c r="B605" s="995" t="s">
        <v>568</v>
      </c>
      <c r="C605" s="1058">
        <v>267</v>
      </c>
      <c r="D605" s="1066" t="s">
        <v>85</v>
      </c>
      <c r="E605" s="946">
        <v>25.09</v>
      </c>
      <c r="F605" s="946">
        <f t="shared" si="207"/>
        <v>6699.03</v>
      </c>
      <c r="G605" s="946">
        <v>4.0999999999999996</v>
      </c>
      <c r="H605" s="947">
        <f t="shared" si="208"/>
        <v>1094.6999999999998</v>
      </c>
      <c r="I605" s="947">
        <f t="shared" si="209"/>
        <v>7793.73</v>
      </c>
      <c r="J605" s="1066"/>
      <c r="AA605" s="459">
        <f t="shared" si="199"/>
        <v>0</v>
      </c>
      <c r="AB605" s="459">
        <f t="shared" si="199"/>
        <v>0</v>
      </c>
    </row>
    <row r="606" spans="1:28" s="344" customFormat="1" ht="26.25" customHeight="1">
      <c r="A606" s="1066" t="s">
        <v>2329</v>
      </c>
      <c r="B606" s="995" t="s">
        <v>578</v>
      </c>
      <c r="C606" s="549">
        <v>775</v>
      </c>
      <c r="D606" s="1066" t="s">
        <v>85</v>
      </c>
      <c r="E606" s="946">
        <v>24.76</v>
      </c>
      <c r="F606" s="946">
        <f t="shared" si="207"/>
        <v>19189</v>
      </c>
      <c r="G606" s="946">
        <v>2.9</v>
      </c>
      <c r="H606" s="947">
        <f t="shared" si="208"/>
        <v>2247.5</v>
      </c>
      <c r="I606" s="947">
        <f t="shared" si="209"/>
        <v>21436.5</v>
      </c>
      <c r="J606" s="1066"/>
      <c r="AA606" s="459">
        <f t="shared" si="199"/>
        <v>0</v>
      </c>
      <c r="AB606" s="459">
        <f t="shared" si="199"/>
        <v>0</v>
      </c>
    </row>
    <row r="607" spans="1:28" s="344" customFormat="1" ht="25.9" customHeight="1">
      <c r="A607" s="1066" t="s">
        <v>2330</v>
      </c>
      <c r="B607" s="995" t="s">
        <v>570</v>
      </c>
      <c r="C607" s="549">
        <f>C608*0.025*35.31</f>
        <v>38.841000000000008</v>
      </c>
      <c r="D607" s="1066" t="s">
        <v>598</v>
      </c>
      <c r="E607" s="946">
        <f t="shared" ref="E607:E610" si="210">VLOOKUP(B607,$O$2:$Q$13,2,0)</f>
        <v>400</v>
      </c>
      <c r="F607" s="946">
        <f t="shared" si="207"/>
        <v>15536.400000000003</v>
      </c>
      <c r="G607" s="946">
        <f t="shared" ref="G607:G611" si="211">VLOOKUP(B607,$O$2:$Q$13,3,0)</f>
        <v>0</v>
      </c>
      <c r="H607" s="947">
        <f t="shared" si="208"/>
        <v>0</v>
      </c>
      <c r="I607" s="947">
        <f t="shared" si="209"/>
        <v>15536.400000000003</v>
      </c>
      <c r="J607" s="1066"/>
      <c r="AA607" s="459">
        <f t="shared" si="199"/>
        <v>0</v>
      </c>
      <c r="AB607" s="459">
        <f t="shared" si="199"/>
        <v>0</v>
      </c>
    </row>
    <row r="608" spans="1:28" s="344" customFormat="1" ht="25.9" customHeight="1">
      <c r="A608" s="1066" t="s">
        <v>2331</v>
      </c>
      <c r="B608" s="995" t="s">
        <v>1036</v>
      </c>
      <c r="C608" s="549">
        <v>44</v>
      </c>
      <c r="D608" s="1066" t="s">
        <v>278</v>
      </c>
      <c r="E608" s="946">
        <f t="shared" si="210"/>
        <v>0</v>
      </c>
      <c r="F608" s="946">
        <f t="shared" si="207"/>
        <v>0</v>
      </c>
      <c r="G608" s="946">
        <f t="shared" si="211"/>
        <v>133</v>
      </c>
      <c r="H608" s="947">
        <f t="shared" si="208"/>
        <v>5852</v>
      </c>
      <c r="I608" s="947">
        <f t="shared" si="209"/>
        <v>5852</v>
      </c>
      <c r="J608" s="1066"/>
      <c r="AA608" s="459">
        <f t="shared" si="199"/>
        <v>44</v>
      </c>
      <c r="AB608" s="459">
        <f t="shared" si="199"/>
        <v>0</v>
      </c>
    </row>
    <row r="609" spans="1:28" s="344" customFormat="1" ht="26.25" customHeight="1">
      <c r="A609" s="1066" t="s">
        <v>2332</v>
      </c>
      <c r="B609" s="995" t="s">
        <v>571</v>
      </c>
      <c r="C609" s="549">
        <v>4</v>
      </c>
      <c r="D609" s="1066" t="s">
        <v>598</v>
      </c>
      <c r="E609" s="946">
        <f t="shared" si="210"/>
        <v>400</v>
      </c>
      <c r="F609" s="946">
        <f t="shared" si="207"/>
        <v>1600</v>
      </c>
      <c r="G609" s="946">
        <f t="shared" si="211"/>
        <v>0</v>
      </c>
      <c r="H609" s="947">
        <f t="shared" si="208"/>
        <v>0</v>
      </c>
      <c r="I609" s="947">
        <f t="shared" si="209"/>
        <v>1600</v>
      </c>
      <c r="J609" s="1066"/>
      <c r="AA609" s="459">
        <f t="shared" si="199"/>
        <v>0</v>
      </c>
      <c r="AB609" s="459">
        <f t="shared" si="199"/>
        <v>0</v>
      </c>
    </row>
    <row r="610" spans="1:28" s="344" customFormat="1" ht="26.25" customHeight="1">
      <c r="A610" s="1066" t="s">
        <v>2333</v>
      </c>
      <c r="B610" s="995" t="s">
        <v>572</v>
      </c>
      <c r="C610" s="1058">
        <v>5</v>
      </c>
      <c r="D610" s="1066" t="s">
        <v>85</v>
      </c>
      <c r="E610" s="946">
        <f t="shared" si="210"/>
        <v>56.78</v>
      </c>
      <c r="F610" s="946">
        <f t="shared" si="207"/>
        <v>283.89999999999998</v>
      </c>
      <c r="G610" s="946">
        <f t="shared" si="211"/>
        <v>0</v>
      </c>
      <c r="H610" s="947">
        <f t="shared" si="208"/>
        <v>0</v>
      </c>
      <c r="I610" s="947">
        <f t="shared" si="209"/>
        <v>283.89999999999998</v>
      </c>
      <c r="J610" s="1066"/>
      <c r="AA610" s="459">
        <f t="shared" si="199"/>
        <v>0</v>
      </c>
      <c r="AB610" s="459">
        <f t="shared" si="199"/>
        <v>0</v>
      </c>
    </row>
    <row r="611" spans="1:28" s="344" customFormat="1" ht="26.25" customHeight="1">
      <c r="A611" s="1066" t="s">
        <v>2334</v>
      </c>
      <c r="B611" s="995" t="s">
        <v>573</v>
      </c>
      <c r="C611" s="1058">
        <v>31</v>
      </c>
      <c r="D611" s="1066" t="s">
        <v>85</v>
      </c>
      <c r="E611" s="946">
        <v>33</v>
      </c>
      <c r="F611" s="946">
        <f t="shared" si="207"/>
        <v>1023</v>
      </c>
      <c r="G611" s="946">
        <f t="shared" si="211"/>
        <v>0</v>
      </c>
      <c r="H611" s="947">
        <f t="shared" si="208"/>
        <v>0</v>
      </c>
      <c r="I611" s="947">
        <f t="shared" si="209"/>
        <v>1023</v>
      </c>
      <c r="J611" s="1066"/>
      <c r="AA611" s="459">
        <f t="shared" si="199"/>
        <v>0</v>
      </c>
      <c r="AB611" s="459">
        <f t="shared" si="199"/>
        <v>0</v>
      </c>
    </row>
    <row r="612" spans="1:28" s="344" customFormat="1" ht="26.25" customHeight="1">
      <c r="A612" s="1089"/>
      <c r="B612" s="563" t="s">
        <v>1351</v>
      </c>
      <c r="C612" s="1090"/>
      <c r="D612" s="1089"/>
      <c r="E612" s="1091"/>
      <c r="F612" s="1091"/>
      <c r="G612" s="1091"/>
      <c r="H612" s="1092"/>
      <c r="I612" s="1093">
        <f>SUM(I604:I611)</f>
        <v>67155.53</v>
      </c>
      <c r="J612" s="1089"/>
      <c r="AA612" s="459"/>
      <c r="AB612" s="459"/>
    </row>
    <row r="613" spans="1:28" s="344" customFormat="1" ht="26.25" customHeight="1">
      <c r="A613" s="1084" t="s">
        <v>1166</v>
      </c>
      <c r="B613" s="1085" t="s">
        <v>1023</v>
      </c>
      <c r="C613" s="1086"/>
      <c r="D613" s="1084"/>
      <c r="E613" s="1087"/>
      <c r="F613" s="1088"/>
      <c r="G613" s="1087"/>
      <c r="H613" s="1088"/>
      <c r="I613" s="1088"/>
      <c r="J613" s="1084"/>
      <c r="AA613" s="459">
        <f t="shared" si="199"/>
        <v>0</v>
      </c>
      <c r="AB613" s="459">
        <f t="shared" si="199"/>
        <v>0</v>
      </c>
    </row>
    <row r="614" spans="1:28" s="344" customFormat="1" ht="26.25" customHeight="1">
      <c r="A614" s="1066" t="s">
        <v>2335</v>
      </c>
      <c r="B614" s="995" t="s">
        <v>567</v>
      </c>
      <c r="C614" s="1058">
        <v>2</v>
      </c>
      <c r="D614" s="1066" t="s">
        <v>545</v>
      </c>
      <c r="E614" s="946">
        <v>2420</v>
      </c>
      <c r="F614" s="946">
        <f t="shared" ref="F614:F621" si="212">E614*C614</f>
        <v>4840</v>
      </c>
      <c r="G614" s="946">
        <v>306</v>
      </c>
      <c r="H614" s="947">
        <f t="shared" ref="H614:H621" si="213">G614*C614</f>
        <v>612</v>
      </c>
      <c r="I614" s="947">
        <f t="shared" ref="I614:I621" si="214">H614+F614</f>
        <v>5452</v>
      </c>
      <c r="J614" s="1066"/>
      <c r="AA614" s="459">
        <f t="shared" si="199"/>
        <v>0</v>
      </c>
      <c r="AB614" s="459">
        <f t="shared" si="199"/>
        <v>0</v>
      </c>
    </row>
    <row r="615" spans="1:28" s="344" customFormat="1" ht="26.25" customHeight="1">
      <c r="A615" s="1066" t="s">
        <v>2336</v>
      </c>
      <c r="B615" s="995" t="s">
        <v>576</v>
      </c>
      <c r="C615" s="1058">
        <v>34</v>
      </c>
      <c r="D615" s="1066" t="s">
        <v>85</v>
      </c>
      <c r="E615" s="946">
        <v>26.03</v>
      </c>
      <c r="F615" s="946">
        <f t="shared" si="212"/>
        <v>885.02</v>
      </c>
      <c r="G615" s="946">
        <v>4.0999999999999996</v>
      </c>
      <c r="H615" s="947">
        <f t="shared" si="213"/>
        <v>139.39999999999998</v>
      </c>
      <c r="I615" s="947">
        <f t="shared" si="214"/>
        <v>1024.42</v>
      </c>
      <c r="J615" s="1066"/>
      <c r="AA615" s="459">
        <f t="shared" si="199"/>
        <v>0</v>
      </c>
      <c r="AB615" s="459">
        <f t="shared" si="199"/>
        <v>0</v>
      </c>
    </row>
    <row r="616" spans="1:28" s="344" customFormat="1" ht="26.25" customHeight="1">
      <c r="A616" s="1066" t="s">
        <v>2337</v>
      </c>
      <c r="B616" s="995" t="s">
        <v>569</v>
      </c>
      <c r="C616" s="549">
        <v>93</v>
      </c>
      <c r="D616" s="1066" t="s">
        <v>85</v>
      </c>
      <c r="E616" s="946">
        <v>26.36</v>
      </c>
      <c r="F616" s="946">
        <f t="shared" si="212"/>
        <v>2451.48</v>
      </c>
      <c r="G616" s="946">
        <v>3.3</v>
      </c>
      <c r="H616" s="947">
        <f t="shared" si="213"/>
        <v>306.89999999999998</v>
      </c>
      <c r="I616" s="947">
        <f t="shared" si="214"/>
        <v>2758.38</v>
      </c>
      <c r="J616" s="1066"/>
      <c r="K616" s="462"/>
      <c r="AA616" s="459">
        <f t="shared" si="199"/>
        <v>0</v>
      </c>
      <c r="AB616" s="459">
        <f t="shared" si="199"/>
        <v>0</v>
      </c>
    </row>
    <row r="617" spans="1:28" s="344" customFormat="1" ht="26.25" customHeight="1">
      <c r="A617" s="1066" t="s">
        <v>2338</v>
      </c>
      <c r="B617" s="995" t="s">
        <v>570</v>
      </c>
      <c r="C617" s="549">
        <f>C618*0.025*35.31</f>
        <v>15.889500000000002</v>
      </c>
      <c r="D617" s="1066" t="s">
        <v>598</v>
      </c>
      <c r="E617" s="946">
        <f t="shared" ref="E617:E620" si="215">VLOOKUP(B617,$O$2:$Q$13,2,0)</f>
        <v>400</v>
      </c>
      <c r="F617" s="946">
        <f t="shared" si="212"/>
        <v>6355.8000000000011</v>
      </c>
      <c r="G617" s="946">
        <f t="shared" ref="G617:G621" si="216">VLOOKUP(B617,$O$2:$Q$13,3,0)</f>
        <v>0</v>
      </c>
      <c r="H617" s="947">
        <f t="shared" si="213"/>
        <v>0</v>
      </c>
      <c r="I617" s="947">
        <f t="shared" si="214"/>
        <v>6355.8000000000011</v>
      </c>
      <c r="J617" s="1066"/>
      <c r="AA617" s="459">
        <f t="shared" si="199"/>
        <v>0</v>
      </c>
      <c r="AB617" s="459">
        <f t="shared" si="199"/>
        <v>0</v>
      </c>
    </row>
    <row r="618" spans="1:28" s="344" customFormat="1" ht="26.25" customHeight="1">
      <c r="A618" s="1066" t="s">
        <v>2339</v>
      </c>
      <c r="B618" s="995" t="s">
        <v>1036</v>
      </c>
      <c r="C618" s="549">
        <v>18</v>
      </c>
      <c r="D618" s="1066" t="s">
        <v>278</v>
      </c>
      <c r="E618" s="946">
        <f t="shared" si="215"/>
        <v>0</v>
      </c>
      <c r="F618" s="946">
        <f t="shared" si="212"/>
        <v>0</v>
      </c>
      <c r="G618" s="946">
        <f t="shared" si="216"/>
        <v>133</v>
      </c>
      <c r="H618" s="947">
        <f t="shared" si="213"/>
        <v>2394</v>
      </c>
      <c r="I618" s="947">
        <f t="shared" si="214"/>
        <v>2394</v>
      </c>
      <c r="J618" s="1066"/>
      <c r="AA618" s="459">
        <f t="shared" si="199"/>
        <v>18</v>
      </c>
      <c r="AB618" s="459">
        <f t="shared" si="199"/>
        <v>0</v>
      </c>
    </row>
    <row r="619" spans="1:28" s="344" customFormat="1" ht="26.25" customHeight="1">
      <c r="A619" s="1066" t="s">
        <v>2340</v>
      </c>
      <c r="B619" s="995" t="s">
        <v>571</v>
      </c>
      <c r="C619" s="549">
        <v>2</v>
      </c>
      <c r="D619" s="1066" t="s">
        <v>598</v>
      </c>
      <c r="E619" s="946">
        <f t="shared" si="215"/>
        <v>400</v>
      </c>
      <c r="F619" s="946">
        <f t="shared" si="212"/>
        <v>800</v>
      </c>
      <c r="G619" s="946">
        <f t="shared" si="216"/>
        <v>0</v>
      </c>
      <c r="H619" s="947">
        <f t="shared" si="213"/>
        <v>0</v>
      </c>
      <c r="I619" s="947">
        <f t="shared" si="214"/>
        <v>800</v>
      </c>
      <c r="J619" s="1066"/>
      <c r="AA619" s="459">
        <f t="shared" si="199"/>
        <v>0</v>
      </c>
      <c r="AB619" s="459">
        <f t="shared" si="199"/>
        <v>0</v>
      </c>
    </row>
    <row r="620" spans="1:28" s="344" customFormat="1" ht="26.25" customHeight="1">
      <c r="A620" s="1066" t="s">
        <v>2341</v>
      </c>
      <c r="B620" s="995" t="s">
        <v>572</v>
      </c>
      <c r="C620" s="1058">
        <v>2</v>
      </c>
      <c r="D620" s="1066" t="s">
        <v>85</v>
      </c>
      <c r="E620" s="946">
        <f t="shared" si="215"/>
        <v>56.78</v>
      </c>
      <c r="F620" s="946">
        <f t="shared" si="212"/>
        <v>113.56</v>
      </c>
      <c r="G620" s="946">
        <f t="shared" si="216"/>
        <v>0</v>
      </c>
      <c r="H620" s="947">
        <f t="shared" si="213"/>
        <v>0</v>
      </c>
      <c r="I620" s="947">
        <f t="shared" si="214"/>
        <v>113.56</v>
      </c>
      <c r="J620" s="1066"/>
      <c r="AA620" s="459">
        <f t="shared" si="199"/>
        <v>0</v>
      </c>
      <c r="AB620" s="459">
        <f t="shared" si="199"/>
        <v>0</v>
      </c>
    </row>
    <row r="621" spans="1:28" s="344" customFormat="1" ht="26.25" customHeight="1">
      <c r="A621" s="1066" t="s">
        <v>2342</v>
      </c>
      <c r="B621" s="995" t="s">
        <v>573</v>
      </c>
      <c r="C621" s="1058">
        <v>4</v>
      </c>
      <c r="D621" s="1066" t="s">
        <v>85</v>
      </c>
      <c r="E621" s="946">
        <v>33</v>
      </c>
      <c r="F621" s="946">
        <f t="shared" si="212"/>
        <v>132</v>
      </c>
      <c r="G621" s="946">
        <f t="shared" si="216"/>
        <v>0</v>
      </c>
      <c r="H621" s="947">
        <f t="shared" si="213"/>
        <v>0</v>
      </c>
      <c r="I621" s="947">
        <f t="shared" si="214"/>
        <v>132</v>
      </c>
      <c r="J621" s="1066"/>
      <c r="AA621" s="459">
        <f t="shared" si="199"/>
        <v>0</v>
      </c>
      <c r="AB621" s="459">
        <f t="shared" si="199"/>
        <v>0</v>
      </c>
    </row>
    <row r="622" spans="1:28" s="344" customFormat="1" ht="26.25" customHeight="1">
      <c r="A622" s="1089"/>
      <c r="B622" s="563" t="s">
        <v>1347</v>
      </c>
      <c r="C622" s="1090"/>
      <c r="D622" s="1089"/>
      <c r="E622" s="1091"/>
      <c r="F622" s="1091"/>
      <c r="G622" s="1091"/>
      <c r="H622" s="1092"/>
      <c r="I622" s="1093">
        <f>SUM(I614:I621)</f>
        <v>19030.16</v>
      </c>
      <c r="J622" s="1089"/>
      <c r="AA622" s="459"/>
      <c r="AB622" s="459"/>
    </row>
    <row r="623" spans="1:28" s="344" customFormat="1" ht="26.25" customHeight="1">
      <c r="A623" s="1072"/>
      <c r="B623" s="551" t="s">
        <v>1280</v>
      </c>
      <c r="C623" s="1071"/>
      <c r="D623" s="1072"/>
      <c r="E623" s="1094"/>
      <c r="F623" s="1094"/>
      <c r="G623" s="1094"/>
      <c r="H623" s="1081"/>
      <c r="I623" s="1095">
        <f>I542+I552+I562+I572+I582+I592+I602+I612+I622</f>
        <v>668769.7300000001</v>
      </c>
      <c r="J623" s="1072"/>
      <c r="AA623" s="459"/>
      <c r="AB623" s="459"/>
    </row>
    <row r="624" spans="1:28" s="344" customFormat="1" ht="26.25" customHeight="1">
      <c r="A624" s="1099">
        <v>2.12</v>
      </c>
      <c r="B624" s="1096" t="s">
        <v>593</v>
      </c>
      <c r="C624" s="1053"/>
      <c r="D624" s="1054"/>
      <c r="E624" s="1055"/>
      <c r="F624" s="1056"/>
      <c r="G624" s="994"/>
      <c r="H624" s="1056"/>
      <c r="I624" s="1056"/>
      <c r="J624" s="1057"/>
      <c r="AA624" s="459">
        <f t="shared" si="199"/>
        <v>0</v>
      </c>
      <c r="AB624" s="459">
        <f t="shared" si="199"/>
        <v>0</v>
      </c>
    </row>
    <row r="625" spans="1:28" s="344" customFormat="1" ht="26.25" customHeight="1">
      <c r="A625" s="1084" t="s">
        <v>1167</v>
      </c>
      <c r="B625" s="1085" t="s">
        <v>581</v>
      </c>
      <c r="C625" s="1086"/>
      <c r="D625" s="1084"/>
      <c r="E625" s="1087"/>
      <c r="F625" s="1088"/>
      <c r="G625" s="1087"/>
      <c r="H625" s="1088"/>
      <c r="I625" s="1088"/>
      <c r="J625" s="1084"/>
      <c r="AA625" s="459">
        <f t="shared" si="199"/>
        <v>0</v>
      </c>
      <c r="AB625" s="459">
        <f t="shared" si="199"/>
        <v>0</v>
      </c>
    </row>
    <row r="626" spans="1:28" s="344" customFormat="1" ht="26.25" customHeight="1">
      <c r="A626" s="1066" t="s">
        <v>2343</v>
      </c>
      <c r="B626" s="995" t="s">
        <v>567</v>
      </c>
      <c r="C626" s="1058">
        <v>19</v>
      </c>
      <c r="D626" s="1066" t="s">
        <v>545</v>
      </c>
      <c r="E626" s="946">
        <v>2420</v>
      </c>
      <c r="F626" s="946">
        <f t="shared" ref="F626:F631" si="217">E626*C626</f>
        <v>45980</v>
      </c>
      <c r="G626" s="946">
        <v>306</v>
      </c>
      <c r="H626" s="947">
        <f t="shared" ref="H626:H631" si="218">G626*C626</f>
        <v>5814</v>
      </c>
      <c r="I626" s="947">
        <f t="shared" ref="I626:I631" si="219">H626+F626</f>
        <v>51794</v>
      </c>
      <c r="J626" s="1066"/>
      <c r="AA626" s="459">
        <f t="shared" si="199"/>
        <v>0</v>
      </c>
      <c r="AB626" s="459">
        <f t="shared" si="199"/>
        <v>0</v>
      </c>
    </row>
    <row r="627" spans="1:28" s="344" customFormat="1" ht="26.25" customHeight="1">
      <c r="A627" s="1066" t="s">
        <v>2344</v>
      </c>
      <c r="B627" s="995" t="s">
        <v>568</v>
      </c>
      <c r="C627" s="549">
        <v>1733</v>
      </c>
      <c r="D627" s="1066" t="s">
        <v>85</v>
      </c>
      <c r="E627" s="946">
        <v>25.09</v>
      </c>
      <c r="F627" s="946">
        <f t="shared" si="217"/>
        <v>43480.97</v>
      </c>
      <c r="G627" s="946">
        <v>4.0999999999999996</v>
      </c>
      <c r="H627" s="947">
        <f t="shared" si="218"/>
        <v>7105.2999999999993</v>
      </c>
      <c r="I627" s="947">
        <f t="shared" si="219"/>
        <v>50586.270000000004</v>
      </c>
      <c r="J627" s="1066"/>
      <c r="AA627" s="459">
        <f t="shared" ref="AA627:AB665" si="220">IF($B627=AA$1,$C627,0)</f>
        <v>0</v>
      </c>
      <c r="AB627" s="459">
        <f t="shared" si="220"/>
        <v>0</v>
      </c>
    </row>
    <row r="628" spans="1:28" s="344" customFormat="1" ht="26.25" customHeight="1">
      <c r="A628" s="1066" t="s">
        <v>2345</v>
      </c>
      <c r="B628" s="995" t="s">
        <v>570</v>
      </c>
      <c r="C628" s="549">
        <f>C629*0.025*35.31</f>
        <v>106.81275000000002</v>
      </c>
      <c r="D628" s="1066" t="s">
        <v>598</v>
      </c>
      <c r="E628" s="946">
        <f t="shared" ref="E628:E630" si="221">VLOOKUP(B628,$O$2:$Q$13,2,0)</f>
        <v>400</v>
      </c>
      <c r="F628" s="946">
        <f t="shared" si="217"/>
        <v>42725.100000000006</v>
      </c>
      <c r="G628" s="946">
        <f t="shared" ref="G628:G631" si="222">VLOOKUP(B628,$O$2:$Q$13,3,0)</f>
        <v>0</v>
      </c>
      <c r="H628" s="947">
        <f t="shared" si="218"/>
        <v>0</v>
      </c>
      <c r="I628" s="947">
        <f t="shared" si="219"/>
        <v>42725.100000000006</v>
      </c>
      <c r="J628" s="1066"/>
      <c r="AA628" s="459">
        <f t="shared" si="220"/>
        <v>0</v>
      </c>
      <c r="AB628" s="459">
        <f t="shared" si="220"/>
        <v>0</v>
      </c>
    </row>
    <row r="629" spans="1:28" s="344" customFormat="1" ht="26.25" customHeight="1">
      <c r="A629" s="1066" t="s">
        <v>2346</v>
      </c>
      <c r="B629" s="995" t="s">
        <v>1036</v>
      </c>
      <c r="C629" s="549">
        <v>121</v>
      </c>
      <c r="D629" s="1066" t="s">
        <v>278</v>
      </c>
      <c r="E629" s="946">
        <f t="shared" si="221"/>
        <v>0</v>
      </c>
      <c r="F629" s="946">
        <f t="shared" si="217"/>
        <v>0</v>
      </c>
      <c r="G629" s="946">
        <f t="shared" si="222"/>
        <v>133</v>
      </c>
      <c r="H629" s="947">
        <f t="shared" si="218"/>
        <v>16093</v>
      </c>
      <c r="I629" s="947">
        <f t="shared" si="219"/>
        <v>16093</v>
      </c>
      <c r="J629" s="1066"/>
      <c r="AA629" s="459">
        <f t="shared" si="220"/>
        <v>121</v>
      </c>
      <c r="AB629" s="459">
        <f t="shared" si="220"/>
        <v>0</v>
      </c>
    </row>
    <row r="630" spans="1:28" s="344" customFormat="1" ht="26.25" customHeight="1">
      <c r="A630" s="1066" t="s">
        <v>2347</v>
      </c>
      <c r="B630" s="995" t="s">
        <v>572</v>
      </c>
      <c r="C630" s="1058">
        <v>24</v>
      </c>
      <c r="D630" s="1066" t="s">
        <v>85</v>
      </c>
      <c r="E630" s="946">
        <f t="shared" si="221"/>
        <v>56.78</v>
      </c>
      <c r="F630" s="946">
        <f t="shared" si="217"/>
        <v>1362.72</v>
      </c>
      <c r="G630" s="946">
        <f t="shared" si="222"/>
        <v>0</v>
      </c>
      <c r="H630" s="947">
        <f t="shared" si="218"/>
        <v>0</v>
      </c>
      <c r="I630" s="947">
        <f t="shared" si="219"/>
        <v>1362.72</v>
      </c>
      <c r="J630" s="1066"/>
      <c r="AA630" s="459">
        <f t="shared" si="220"/>
        <v>0</v>
      </c>
      <c r="AB630" s="459">
        <f t="shared" si="220"/>
        <v>0</v>
      </c>
    </row>
    <row r="631" spans="1:28" s="344" customFormat="1" ht="26.25" customHeight="1">
      <c r="A631" s="1066" t="s">
        <v>2348</v>
      </c>
      <c r="B631" s="995" t="s">
        <v>573</v>
      </c>
      <c r="C631" s="1058">
        <v>52</v>
      </c>
      <c r="D631" s="1066" t="s">
        <v>85</v>
      </c>
      <c r="E631" s="946">
        <v>33</v>
      </c>
      <c r="F631" s="946">
        <f t="shared" si="217"/>
        <v>1716</v>
      </c>
      <c r="G631" s="946">
        <f t="shared" si="222"/>
        <v>0</v>
      </c>
      <c r="H631" s="947">
        <f t="shared" si="218"/>
        <v>0</v>
      </c>
      <c r="I631" s="947">
        <f t="shared" si="219"/>
        <v>1716</v>
      </c>
      <c r="J631" s="1066"/>
      <c r="AA631" s="459">
        <f t="shared" si="220"/>
        <v>0</v>
      </c>
      <c r="AB631" s="459">
        <f t="shared" si="220"/>
        <v>0</v>
      </c>
    </row>
    <row r="632" spans="1:28" s="344" customFormat="1" ht="26.25" customHeight="1">
      <c r="A632" s="1089"/>
      <c r="B632" s="563" t="s">
        <v>1338</v>
      </c>
      <c r="C632" s="1090"/>
      <c r="D632" s="1089"/>
      <c r="E632" s="1091"/>
      <c r="F632" s="1091"/>
      <c r="G632" s="1091"/>
      <c r="H632" s="1092"/>
      <c r="I632" s="1093">
        <f>SUM(I626:I631)</f>
        <v>164277.09</v>
      </c>
      <c r="J632" s="1089"/>
      <c r="AA632" s="459"/>
      <c r="AB632" s="459"/>
    </row>
    <row r="633" spans="1:28" s="344" customFormat="1" ht="26.25" customHeight="1">
      <c r="A633" s="1084" t="s">
        <v>1168</v>
      </c>
      <c r="B633" s="1085" t="s">
        <v>1025</v>
      </c>
      <c r="C633" s="1086"/>
      <c r="D633" s="1084"/>
      <c r="E633" s="1087"/>
      <c r="F633" s="1088"/>
      <c r="G633" s="1087"/>
      <c r="H633" s="1088"/>
      <c r="I633" s="1088"/>
      <c r="J633" s="1084"/>
      <c r="AA633" s="459">
        <f t="shared" si="220"/>
        <v>0</v>
      </c>
      <c r="AB633" s="459">
        <f t="shared" si="220"/>
        <v>0</v>
      </c>
    </row>
    <row r="634" spans="1:28" s="344" customFormat="1" ht="26.25" customHeight="1">
      <c r="A634" s="1066" t="s">
        <v>2349</v>
      </c>
      <c r="B634" s="995" t="s">
        <v>567</v>
      </c>
      <c r="C634" s="1058">
        <v>95</v>
      </c>
      <c r="D634" s="1066" t="s">
        <v>545</v>
      </c>
      <c r="E634" s="946">
        <v>2420</v>
      </c>
      <c r="F634" s="946">
        <f t="shared" ref="F634:F639" si="223">E634*C634</f>
        <v>229900</v>
      </c>
      <c r="G634" s="946">
        <v>306</v>
      </c>
      <c r="H634" s="947">
        <f t="shared" ref="H634:H639" si="224">G634*C634</f>
        <v>29070</v>
      </c>
      <c r="I634" s="947">
        <f t="shared" ref="I634:I639" si="225">H634+F634</f>
        <v>258970</v>
      </c>
      <c r="J634" s="1066"/>
      <c r="AA634" s="459">
        <f t="shared" si="220"/>
        <v>0</v>
      </c>
      <c r="AB634" s="459">
        <f t="shared" si="220"/>
        <v>0</v>
      </c>
    </row>
    <row r="635" spans="1:28" s="344" customFormat="1" ht="26.25" customHeight="1">
      <c r="A635" s="1066" t="s">
        <v>2350</v>
      </c>
      <c r="B635" s="995" t="s">
        <v>568</v>
      </c>
      <c r="C635" s="549">
        <v>8903</v>
      </c>
      <c r="D635" s="1066" t="s">
        <v>85</v>
      </c>
      <c r="E635" s="946">
        <v>25.09</v>
      </c>
      <c r="F635" s="946">
        <f t="shared" si="223"/>
        <v>223376.27</v>
      </c>
      <c r="G635" s="946">
        <v>4.0999999999999996</v>
      </c>
      <c r="H635" s="947">
        <f t="shared" si="224"/>
        <v>36502.299999999996</v>
      </c>
      <c r="I635" s="947">
        <f t="shared" si="225"/>
        <v>259878.56999999998</v>
      </c>
      <c r="J635" s="1066"/>
      <c r="AA635" s="459">
        <f t="shared" si="220"/>
        <v>0</v>
      </c>
      <c r="AB635" s="459">
        <f t="shared" si="220"/>
        <v>0</v>
      </c>
    </row>
    <row r="636" spans="1:28" s="344" customFormat="1" ht="26.25" customHeight="1">
      <c r="A636" s="1066" t="s">
        <v>2351</v>
      </c>
      <c r="B636" s="995" t="s">
        <v>570</v>
      </c>
      <c r="C636" s="549">
        <f>C637*0.025*35.31</f>
        <v>529.65000000000009</v>
      </c>
      <c r="D636" s="1066" t="s">
        <v>598</v>
      </c>
      <c r="E636" s="946">
        <f t="shared" ref="E636:E638" si="226">VLOOKUP(B636,$O$2:$Q$13,2,0)</f>
        <v>400</v>
      </c>
      <c r="F636" s="946">
        <f t="shared" si="223"/>
        <v>211860.00000000003</v>
      </c>
      <c r="G636" s="946">
        <f t="shared" ref="G636:G639" si="227">VLOOKUP(B636,$O$2:$Q$13,3,0)</f>
        <v>0</v>
      </c>
      <c r="H636" s="947">
        <f t="shared" si="224"/>
        <v>0</v>
      </c>
      <c r="I636" s="947">
        <f t="shared" si="225"/>
        <v>211860.00000000003</v>
      </c>
      <c r="J636" s="1066"/>
      <c r="K636" s="462"/>
      <c r="AA636" s="459">
        <f t="shared" si="220"/>
        <v>0</v>
      </c>
      <c r="AB636" s="459">
        <f t="shared" si="220"/>
        <v>0</v>
      </c>
    </row>
    <row r="637" spans="1:28" s="344" customFormat="1" ht="26.25" customHeight="1">
      <c r="A637" s="1066" t="s">
        <v>2352</v>
      </c>
      <c r="B637" s="995" t="s">
        <v>1036</v>
      </c>
      <c r="C637" s="549">
        <v>600</v>
      </c>
      <c r="D637" s="1066" t="s">
        <v>278</v>
      </c>
      <c r="E637" s="946">
        <f t="shared" si="226"/>
        <v>0</v>
      </c>
      <c r="F637" s="946">
        <f t="shared" si="223"/>
        <v>0</v>
      </c>
      <c r="G637" s="946">
        <f t="shared" si="227"/>
        <v>133</v>
      </c>
      <c r="H637" s="947">
        <f t="shared" si="224"/>
        <v>79800</v>
      </c>
      <c r="I637" s="947">
        <f t="shared" si="225"/>
        <v>79800</v>
      </c>
      <c r="J637" s="1066"/>
      <c r="K637" s="462"/>
      <c r="AA637" s="459">
        <f t="shared" si="220"/>
        <v>600</v>
      </c>
      <c r="AB637" s="459">
        <f t="shared" si="220"/>
        <v>0</v>
      </c>
    </row>
    <row r="638" spans="1:28" s="344" customFormat="1" ht="26.25" customHeight="1">
      <c r="A638" s="1066" t="s">
        <v>2353</v>
      </c>
      <c r="B638" s="995" t="s">
        <v>572</v>
      </c>
      <c r="C638" s="1058">
        <v>120</v>
      </c>
      <c r="D638" s="1066" t="s">
        <v>85</v>
      </c>
      <c r="E638" s="946">
        <f t="shared" si="226"/>
        <v>56.78</v>
      </c>
      <c r="F638" s="946">
        <f t="shared" si="223"/>
        <v>6813.6</v>
      </c>
      <c r="G638" s="946">
        <f t="shared" si="227"/>
        <v>0</v>
      </c>
      <c r="H638" s="947">
        <f t="shared" si="224"/>
        <v>0</v>
      </c>
      <c r="I638" s="947">
        <f t="shared" si="225"/>
        <v>6813.6</v>
      </c>
      <c r="J638" s="1066"/>
      <c r="AA638" s="459">
        <f t="shared" si="220"/>
        <v>0</v>
      </c>
      <c r="AB638" s="459">
        <f t="shared" si="220"/>
        <v>0</v>
      </c>
    </row>
    <row r="639" spans="1:28" s="344" customFormat="1" ht="26.25" customHeight="1">
      <c r="A639" s="1066" t="s">
        <v>2354</v>
      </c>
      <c r="B639" s="995" t="s">
        <v>573</v>
      </c>
      <c r="C639" s="1058">
        <v>267</v>
      </c>
      <c r="D639" s="1066" t="s">
        <v>85</v>
      </c>
      <c r="E639" s="946">
        <v>33</v>
      </c>
      <c r="F639" s="946">
        <f t="shared" si="223"/>
        <v>8811</v>
      </c>
      <c r="G639" s="946">
        <f t="shared" si="227"/>
        <v>0</v>
      </c>
      <c r="H639" s="947">
        <f t="shared" si="224"/>
        <v>0</v>
      </c>
      <c r="I639" s="947">
        <f t="shared" si="225"/>
        <v>8811</v>
      </c>
      <c r="J639" s="1066"/>
      <c r="AA639" s="459">
        <f t="shared" si="220"/>
        <v>0</v>
      </c>
      <c r="AB639" s="459">
        <f t="shared" si="220"/>
        <v>0</v>
      </c>
    </row>
    <row r="640" spans="1:28" s="344" customFormat="1" ht="26.25" customHeight="1">
      <c r="A640" s="1089"/>
      <c r="B640" s="563" t="s">
        <v>1352</v>
      </c>
      <c r="C640" s="1090"/>
      <c r="D640" s="1089"/>
      <c r="E640" s="1091"/>
      <c r="F640" s="1091"/>
      <c r="G640" s="1091"/>
      <c r="H640" s="1092"/>
      <c r="I640" s="1093">
        <f>SUM(I634:I639)</f>
        <v>826133.16999999993</v>
      </c>
      <c r="J640" s="1089"/>
      <c r="AA640" s="459"/>
      <c r="AB640" s="459"/>
    </row>
    <row r="641" spans="1:28" s="344" customFormat="1" ht="26.25" customHeight="1">
      <c r="A641" s="1072"/>
      <c r="B641" s="551" t="s">
        <v>1281</v>
      </c>
      <c r="C641" s="1071"/>
      <c r="D641" s="1072"/>
      <c r="E641" s="1094"/>
      <c r="F641" s="1094"/>
      <c r="G641" s="1094"/>
      <c r="H641" s="1081"/>
      <c r="I641" s="1095">
        <f>I632+I640</f>
        <v>990410.25999999989</v>
      </c>
      <c r="J641" s="1072"/>
      <c r="AA641" s="459"/>
      <c r="AB641" s="459"/>
    </row>
    <row r="642" spans="1:28" s="344" customFormat="1" ht="26.25" customHeight="1">
      <c r="A642" s="1099">
        <v>2.13</v>
      </c>
      <c r="B642" s="1096" t="s">
        <v>1026</v>
      </c>
      <c r="C642" s="1053"/>
      <c r="D642" s="1054"/>
      <c r="E642" s="1055"/>
      <c r="F642" s="1056"/>
      <c r="G642" s="994"/>
      <c r="H642" s="1056"/>
      <c r="I642" s="1056"/>
      <c r="J642" s="1057"/>
      <c r="AA642" s="459">
        <f t="shared" si="220"/>
        <v>0</v>
      </c>
      <c r="AB642" s="459">
        <f t="shared" si="220"/>
        <v>0</v>
      </c>
    </row>
    <row r="643" spans="1:28" s="344" customFormat="1" ht="26.25" customHeight="1">
      <c r="A643" s="1084" t="s">
        <v>1169</v>
      </c>
      <c r="B643" s="1085" t="s">
        <v>1013</v>
      </c>
      <c r="C643" s="1086"/>
      <c r="D643" s="1084"/>
      <c r="E643" s="1087"/>
      <c r="F643" s="1088"/>
      <c r="G643" s="1087"/>
      <c r="H643" s="1088"/>
      <c r="I643" s="1088"/>
      <c r="J643" s="1084"/>
      <c r="AA643" s="459">
        <f t="shared" si="220"/>
        <v>0</v>
      </c>
      <c r="AB643" s="459">
        <f t="shared" si="220"/>
        <v>0</v>
      </c>
    </row>
    <row r="644" spans="1:28" s="344" customFormat="1" ht="26.25" customHeight="1">
      <c r="A644" s="1066" t="s">
        <v>2355</v>
      </c>
      <c r="B644" s="995" t="s">
        <v>567</v>
      </c>
      <c r="C644" s="1058">
        <v>3</v>
      </c>
      <c r="D644" s="1066" t="s">
        <v>545</v>
      </c>
      <c r="E644" s="946">
        <v>2420</v>
      </c>
      <c r="F644" s="946">
        <f t="shared" ref="F644:F651" si="228">E644*C644</f>
        <v>7260</v>
      </c>
      <c r="G644" s="946">
        <v>306</v>
      </c>
      <c r="H644" s="947">
        <f t="shared" ref="H644:H651" si="229">G644*C644</f>
        <v>918</v>
      </c>
      <c r="I644" s="947">
        <f t="shared" ref="I644:I651" si="230">H644+F644</f>
        <v>8178</v>
      </c>
      <c r="J644" s="1066"/>
      <c r="AA644" s="459">
        <f t="shared" si="220"/>
        <v>0</v>
      </c>
      <c r="AB644" s="459">
        <f t="shared" si="220"/>
        <v>0</v>
      </c>
    </row>
    <row r="645" spans="1:28" s="344" customFormat="1" ht="26.25" customHeight="1">
      <c r="A645" s="1066" t="s">
        <v>2356</v>
      </c>
      <c r="B645" s="995" t="s">
        <v>576</v>
      </c>
      <c r="C645" s="1058">
        <v>34</v>
      </c>
      <c r="D645" s="1066" t="s">
        <v>85</v>
      </c>
      <c r="E645" s="946">
        <v>26.03</v>
      </c>
      <c r="F645" s="946">
        <f t="shared" si="228"/>
        <v>885.02</v>
      </c>
      <c r="G645" s="946">
        <v>4.0999999999999996</v>
      </c>
      <c r="H645" s="947">
        <f t="shared" si="229"/>
        <v>139.39999999999998</v>
      </c>
      <c r="I645" s="947">
        <f t="shared" si="230"/>
        <v>1024.42</v>
      </c>
      <c r="J645" s="1066"/>
      <c r="AA645" s="459">
        <f t="shared" si="220"/>
        <v>0</v>
      </c>
      <c r="AB645" s="459">
        <f t="shared" si="220"/>
        <v>0</v>
      </c>
    </row>
    <row r="646" spans="1:28" s="344" customFormat="1" ht="26.25" customHeight="1">
      <c r="A646" s="1066" t="s">
        <v>2357</v>
      </c>
      <c r="B646" s="995" t="s">
        <v>574</v>
      </c>
      <c r="C646" s="549">
        <v>184</v>
      </c>
      <c r="D646" s="1066" t="s">
        <v>85</v>
      </c>
      <c r="E646" s="946">
        <v>26.36</v>
      </c>
      <c r="F646" s="946">
        <f t="shared" si="228"/>
        <v>4850.24</v>
      </c>
      <c r="G646" s="946">
        <v>3.3</v>
      </c>
      <c r="H646" s="947">
        <f t="shared" si="229"/>
        <v>607.19999999999993</v>
      </c>
      <c r="I646" s="947">
        <f t="shared" si="230"/>
        <v>5457.44</v>
      </c>
      <c r="J646" s="1066"/>
      <c r="AA646" s="459">
        <f t="shared" si="220"/>
        <v>0</v>
      </c>
      <c r="AB646" s="459">
        <f t="shared" si="220"/>
        <v>0</v>
      </c>
    </row>
    <row r="647" spans="1:28" s="344" customFormat="1" ht="26.25" customHeight="1">
      <c r="A647" s="1066" t="s">
        <v>2358</v>
      </c>
      <c r="B647" s="995" t="s">
        <v>570</v>
      </c>
      <c r="C647" s="549">
        <f>C648*0.025*35.31</f>
        <v>22.068750000000001</v>
      </c>
      <c r="D647" s="1066" t="s">
        <v>598</v>
      </c>
      <c r="E647" s="946">
        <f t="shared" ref="E647:E650" si="231">VLOOKUP(B647,$O$2:$Q$13,2,0)</f>
        <v>400</v>
      </c>
      <c r="F647" s="946">
        <f t="shared" si="228"/>
        <v>8827.5</v>
      </c>
      <c r="G647" s="946">
        <f t="shared" ref="G647:G651" si="232">VLOOKUP(B647,$O$2:$Q$13,3,0)</f>
        <v>0</v>
      </c>
      <c r="H647" s="947">
        <f t="shared" si="229"/>
        <v>0</v>
      </c>
      <c r="I647" s="947">
        <f t="shared" si="230"/>
        <v>8827.5</v>
      </c>
      <c r="J647" s="1066"/>
      <c r="AA647" s="459">
        <f t="shared" si="220"/>
        <v>0</v>
      </c>
      <c r="AB647" s="459">
        <f t="shared" si="220"/>
        <v>0</v>
      </c>
    </row>
    <row r="648" spans="1:28" s="344" customFormat="1" ht="26.25" customHeight="1">
      <c r="A648" s="1066" t="s">
        <v>2359</v>
      </c>
      <c r="B648" s="995" t="s">
        <v>1036</v>
      </c>
      <c r="C648" s="549">
        <v>25</v>
      </c>
      <c r="D648" s="1066" t="s">
        <v>278</v>
      </c>
      <c r="E648" s="946">
        <f t="shared" si="231"/>
        <v>0</v>
      </c>
      <c r="F648" s="946">
        <f t="shared" si="228"/>
        <v>0</v>
      </c>
      <c r="G648" s="946">
        <f t="shared" si="232"/>
        <v>133</v>
      </c>
      <c r="H648" s="947">
        <f t="shared" si="229"/>
        <v>3325</v>
      </c>
      <c r="I648" s="947">
        <f t="shared" si="230"/>
        <v>3325</v>
      </c>
      <c r="J648" s="1066"/>
      <c r="AA648" s="459">
        <f t="shared" si="220"/>
        <v>25</v>
      </c>
      <c r="AB648" s="459">
        <f t="shared" si="220"/>
        <v>0</v>
      </c>
    </row>
    <row r="649" spans="1:28" s="344" customFormat="1" ht="26.25" customHeight="1">
      <c r="A649" s="1066" t="s">
        <v>2360</v>
      </c>
      <c r="B649" s="995" t="s">
        <v>571</v>
      </c>
      <c r="C649" s="549">
        <v>3</v>
      </c>
      <c r="D649" s="1066" t="s">
        <v>598</v>
      </c>
      <c r="E649" s="946">
        <f t="shared" si="231"/>
        <v>400</v>
      </c>
      <c r="F649" s="946">
        <f t="shared" si="228"/>
        <v>1200</v>
      </c>
      <c r="G649" s="946">
        <f t="shared" si="232"/>
        <v>0</v>
      </c>
      <c r="H649" s="947">
        <f t="shared" si="229"/>
        <v>0</v>
      </c>
      <c r="I649" s="947">
        <f t="shared" si="230"/>
        <v>1200</v>
      </c>
      <c r="J649" s="1066"/>
      <c r="AA649" s="459">
        <f t="shared" si="220"/>
        <v>0</v>
      </c>
      <c r="AB649" s="459">
        <f t="shared" si="220"/>
        <v>0</v>
      </c>
    </row>
    <row r="650" spans="1:28" s="344" customFormat="1" ht="26.25" customHeight="1">
      <c r="A650" s="1066" t="s">
        <v>2361</v>
      </c>
      <c r="B650" s="995" t="s">
        <v>572</v>
      </c>
      <c r="C650" s="1058">
        <v>3</v>
      </c>
      <c r="D650" s="1066" t="s">
        <v>85</v>
      </c>
      <c r="E650" s="946">
        <f t="shared" si="231"/>
        <v>56.78</v>
      </c>
      <c r="F650" s="946">
        <f t="shared" si="228"/>
        <v>170.34</v>
      </c>
      <c r="G650" s="946">
        <f t="shared" si="232"/>
        <v>0</v>
      </c>
      <c r="H650" s="947">
        <f t="shared" si="229"/>
        <v>0</v>
      </c>
      <c r="I650" s="947">
        <f t="shared" si="230"/>
        <v>170.34</v>
      </c>
      <c r="J650" s="1066"/>
      <c r="AA650" s="459">
        <f t="shared" si="220"/>
        <v>0</v>
      </c>
      <c r="AB650" s="459">
        <f t="shared" si="220"/>
        <v>0</v>
      </c>
    </row>
    <row r="651" spans="1:28" s="344" customFormat="1" ht="26.25" customHeight="1">
      <c r="A651" s="1066" t="s">
        <v>2362</v>
      </c>
      <c r="B651" s="995" t="s">
        <v>573</v>
      </c>
      <c r="C651" s="1058">
        <v>7</v>
      </c>
      <c r="D651" s="1066" t="s">
        <v>85</v>
      </c>
      <c r="E651" s="946">
        <v>33</v>
      </c>
      <c r="F651" s="946">
        <f t="shared" si="228"/>
        <v>231</v>
      </c>
      <c r="G651" s="946">
        <f t="shared" si="232"/>
        <v>0</v>
      </c>
      <c r="H651" s="947">
        <f t="shared" si="229"/>
        <v>0</v>
      </c>
      <c r="I651" s="947">
        <f t="shared" si="230"/>
        <v>231</v>
      </c>
      <c r="J651" s="1066"/>
      <c r="AA651" s="459">
        <f t="shared" si="220"/>
        <v>0</v>
      </c>
      <c r="AB651" s="459">
        <f t="shared" si="220"/>
        <v>0</v>
      </c>
    </row>
    <row r="652" spans="1:28" s="344" customFormat="1" ht="26.25" customHeight="1">
      <c r="A652" s="1089"/>
      <c r="B652" s="563" t="s">
        <v>1344</v>
      </c>
      <c r="C652" s="1090"/>
      <c r="D652" s="1089"/>
      <c r="E652" s="1091"/>
      <c r="F652" s="1091"/>
      <c r="G652" s="1091"/>
      <c r="H652" s="1092"/>
      <c r="I652" s="1093">
        <f>SUM(I644:I651)</f>
        <v>28413.7</v>
      </c>
      <c r="J652" s="1089"/>
      <c r="AA652" s="459"/>
      <c r="AB652" s="459"/>
    </row>
    <row r="653" spans="1:28" s="344" customFormat="1" ht="26.25" customHeight="1">
      <c r="A653" s="1084" t="s">
        <v>1170</v>
      </c>
      <c r="B653" s="1085" t="s">
        <v>1025</v>
      </c>
      <c r="C653" s="1086"/>
      <c r="D653" s="1084"/>
      <c r="E653" s="1087"/>
      <c r="F653" s="1088"/>
      <c r="G653" s="1087"/>
      <c r="H653" s="1088"/>
      <c r="I653" s="1088"/>
      <c r="J653" s="1084"/>
      <c r="AA653" s="459">
        <f t="shared" si="220"/>
        <v>0</v>
      </c>
      <c r="AB653" s="459">
        <f t="shared" si="220"/>
        <v>0</v>
      </c>
    </row>
    <row r="654" spans="1:28" s="344" customFormat="1" ht="26.25" customHeight="1">
      <c r="A654" s="1066" t="s">
        <v>2363</v>
      </c>
      <c r="B654" s="995" t="s">
        <v>567</v>
      </c>
      <c r="C654" s="1058">
        <v>3</v>
      </c>
      <c r="D654" s="1066" t="s">
        <v>545</v>
      </c>
      <c r="E654" s="946">
        <v>2420</v>
      </c>
      <c r="F654" s="946">
        <f t="shared" ref="F654:F659" si="233">E654*C654</f>
        <v>7260</v>
      </c>
      <c r="G654" s="946">
        <v>306</v>
      </c>
      <c r="H654" s="947">
        <f t="shared" ref="H654:H659" si="234">G654*C654</f>
        <v>918</v>
      </c>
      <c r="I654" s="947">
        <f t="shared" ref="I654:I659" si="235">H654+F654</f>
        <v>8178</v>
      </c>
      <c r="J654" s="1066"/>
      <c r="AA654" s="459">
        <f t="shared" si="220"/>
        <v>0</v>
      </c>
      <c r="AB654" s="459">
        <f t="shared" si="220"/>
        <v>0</v>
      </c>
    </row>
    <row r="655" spans="1:28" s="344" customFormat="1" ht="26.25" customHeight="1">
      <c r="A655" s="1066" t="s">
        <v>2364</v>
      </c>
      <c r="B655" s="995" t="s">
        <v>568</v>
      </c>
      <c r="C655" s="549">
        <v>355</v>
      </c>
      <c r="D655" s="1066" t="s">
        <v>85</v>
      </c>
      <c r="E655" s="946">
        <v>25.09</v>
      </c>
      <c r="F655" s="946">
        <f t="shared" si="233"/>
        <v>8906.9500000000007</v>
      </c>
      <c r="G655" s="946">
        <v>4.0999999999999996</v>
      </c>
      <c r="H655" s="947">
        <f t="shared" si="234"/>
        <v>1455.4999999999998</v>
      </c>
      <c r="I655" s="947">
        <f t="shared" si="235"/>
        <v>10362.450000000001</v>
      </c>
      <c r="J655" s="1066"/>
      <c r="AA655" s="459">
        <f t="shared" si="220"/>
        <v>0</v>
      </c>
      <c r="AB655" s="459">
        <f t="shared" si="220"/>
        <v>0</v>
      </c>
    </row>
    <row r="656" spans="1:28" s="344" customFormat="1" ht="26.25" customHeight="1">
      <c r="A656" s="1066" t="s">
        <v>2365</v>
      </c>
      <c r="B656" s="995" t="s">
        <v>570</v>
      </c>
      <c r="C656" s="549">
        <f>C657*0.025*35.31</f>
        <v>17.655000000000001</v>
      </c>
      <c r="D656" s="1066" t="s">
        <v>598</v>
      </c>
      <c r="E656" s="946">
        <f t="shared" ref="E656:E658" si="236">VLOOKUP(B656,$O$2:$Q$13,2,0)</f>
        <v>400</v>
      </c>
      <c r="F656" s="946">
        <f t="shared" si="233"/>
        <v>7062</v>
      </c>
      <c r="G656" s="946">
        <f t="shared" ref="G656:G659" si="237">VLOOKUP(B656,$O$2:$Q$13,3,0)</f>
        <v>0</v>
      </c>
      <c r="H656" s="947">
        <f t="shared" si="234"/>
        <v>0</v>
      </c>
      <c r="I656" s="947">
        <f t="shared" si="235"/>
        <v>7062</v>
      </c>
      <c r="J656" s="1066"/>
      <c r="AA656" s="459">
        <f t="shared" si="220"/>
        <v>0</v>
      </c>
      <c r="AB656" s="459">
        <f t="shared" si="220"/>
        <v>0</v>
      </c>
    </row>
    <row r="657" spans="1:28" s="344" customFormat="1" ht="26.25" customHeight="1">
      <c r="A657" s="1066" t="s">
        <v>2366</v>
      </c>
      <c r="B657" s="995" t="s">
        <v>1036</v>
      </c>
      <c r="C657" s="549">
        <v>20</v>
      </c>
      <c r="D657" s="1066" t="s">
        <v>278</v>
      </c>
      <c r="E657" s="946">
        <f t="shared" si="236"/>
        <v>0</v>
      </c>
      <c r="F657" s="946">
        <f t="shared" si="233"/>
        <v>0</v>
      </c>
      <c r="G657" s="946">
        <f t="shared" si="237"/>
        <v>133</v>
      </c>
      <c r="H657" s="947">
        <f t="shared" si="234"/>
        <v>2660</v>
      </c>
      <c r="I657" s="947">
        <f t="shared" si="235"/>
        <v>2660</v>
      </c>
      <c r="J657" s="1066"/>
      <c r="AA657" s="459">
        <f t="shared" si="220"/>
        <v>20</v>
      </c>
      <c r="AB657" s="459">
        <f t="shared" si="220"/>
        <v>0</v>
      </c>
    </row>
    <row r="658" spans="1:28" s="344" customFormat="1" ht="26.25" customHeight="1">
      <c r="A658" s="1066" t="s">
        <v>2367</v>
      </c>
      <c r="B658" s="995" t="s">
        <v>572</v>
      </c>
      <c r="C658" s="1058">
        <v>4</v>
      </c>
      <c r="D658" s="1066" t="s">
        <v>85</v>
      </c>
      <c r="E658" s="946">
        <f t="shared" si="236"/>
        <v>56.78</v>
      </c>
      <c r="F658" s="946">
        <f t="shared" si="233"/>
        <v>227.12</v>
      </c>
      <c r="G658" s="946">
        <f t="shared" si="237"/>
        <v>0</v>
      </c>
      <c r="H658" s="947">
        <f t="shared" si="234"/>
        <v>0</v>
      </c>
      <c r="I658" s="947">
        <f t="shared" si="235"/>
        <v>227.12</v>
      </c>
      <c r="J658" s="1066"/>
      <c r="AA658" s="459">
        <f t="shared" si="220"/>
        <v>0</v>
      </c>
      <c r="AB658" s="459">
        <f t="shared" si="220"/>
        <v>0</v>
      </c>
    </row>
    <row r="659" spans="1:28" s="344" customFormat="1" ht="26.25" customHeight="1">
      <c r="A659" s="1066" t="s">
        <v>2368</v>
      </c>
      <c r="B659" s="995" t="s">
        <v>573</v>
      </c>
      <c r="C659" s="1058">
        <v>11</v>
      </c>
      <c r="D659" s="1066" t="s">
        <v>85</v>
      </c>
      <c r="E659" s="946">
        <v>33</v>
      </c>
      <c r="F659" s="946">
        <f t="shared" si="233"/>
        <v>363</v>
      </c>
      <c r="G659" s="946">
        <f t="shared" si="237"/>
        <v>0</v>
      </c>
      <c r="H659" s="947">
        <f t="shared" si="234"/>
        <v>0</v>
      </c>
      <c r="I659" s="947">
        <f t="shared" si="235"/>
        <v>363</v>
      </c>
      <c r="J659" s="1066"/>
      <c r="AA659" s="459">
        <f t="shared" si="220"/>
        <v>0</v>
      </c>
      <c r="AB659" s="459">
        <f t="shared" si="220"/>
        <v>0</v>
      </c>
    </row>
    <row r="660" spans="1:28" s="344" customFormat="1" ht="26.25" customHeight="1">
      <c r="A660" s="1089"/>
      <c r="B660" s="563" t="s">
        <v>1352</v>
      </c>
      <c r="C660" s="1090"/>
      <c r="D660" s="1089"/>
      <c r="E660" s="1091"/>
      <c r="F660" s="1091"/>
      <c r="G660" s="1091"/>
      <c r="H660" s="1092"/>
      <c r="I660" s="1093">
        <f>SUM(I654:I659)</f>
        <v>28852.57</v>
      </c>
      <c r="J660" s="1089"/>
      <c r="AA660" s="459"/>
      <c r="AB660" s="459"/>
    </row>
    <row r="661" spans="1:28" s="344" customFormat="1" ht="26.25" customHeight="1">
      <c r="A661" s="1072"/>
      <c r="B661" s="551" t="s">
        <v>1282</v>
      </c>
      <c r="C661" s="1071"/>
      <c r="D661" s="1072"/>
      <c r="E661" s="1094"/>
      <c r="F661" s="1094"/>
      <c r="G661" s="1094"/>
      <c r="H661" s="1081"/>
      <c r="I661" s="1095">
        <f>I652+I660</f>
        <v>57266.270000000004</v>
      </c>
      <c r="J661" s="1072"/>
      <c r="AA661" s="459"/>
      <c r="AB661" s="459"/>
    </row>
    <row r="662" spans="1:28" s="344" customFormat="1" ht="26.25" customHeight="1">
      <c r="A662" s="1099">
        <v>2.14</v>
      </c>
      <c r="B662" s="1096" t="s">
        <v>1042</v>
      </c>
      <c r="C662" s="1053"/>
      <c r="D662" s="1054"/>
      <c r="E662" s="1055"/>
      <c r="F662" s="1056"/>
      <c r="G662" s="1055"/>
      <c r="H662" s="1056"/>
      <c r="I662" s="1056"/>
      <c r="J662" s="1057"/>
      <c r="AA662" s="459">
        <f t="shared" si="220"/>
        <v>0</v>
      </c>
      <c r="AB662" s="459">
        <f t="shared" si="220"/>
        <v>0</v>
      </c>
    </row>
    <row r="663" spans="1:28" s="344" customFormat="1" ht="26.25" customHeight="1">
      <c r="A663" s="1066" t="s">
        <v>2374</v>
      </c>
      <c r="B663" s="995" t="s">
        <v>2369</v>
      </c>
      <c r="C663" s="1058">
        <v>8</v>
      </c>
      <c r="D663" s="1066" t="s">
        <v>74</v>
      </c>
      <c r="E663" s="1059">
        <v>10225</v>
      </c>
      <c r="F663" s="947">
        <f t="shared" ref="F663:F676" si="238">E663*C663</f>
        <v>81800</v>
      </c>
      <c r="G663" s="1059">
        <v>3588</v>
      </c>
      <c r="H663" s="947">
        <f t="shared" ref="H663:H676" si="239">G663*C663</f>
        <v>28704</v>
      </c>
      <c r="I663" s="947">
        <f t="shared" ref="I663:I676" si="240">H663+F663</f>
        <v>110504</v>
      </c>
      <c r="J663" s="1066"/>
      <c r="K663" s="462"/>
      <c r="AA663" s="459">
        <f t="shared" si="220"/>
        <v>0</v>
      </c>
      <c r="AB663" s="459">
        <f t="shared" si="220"/>
        <v>0</v>
      </c>
    </row>
    <row r="664" spans="1:28" s="344" customFormat="1" ht="26.25" customHeight="1">
      <c r="A664" s="1066" t="s">
        <v>2375</v>
      </c>
      <c r="B664" s="995" t="s">
        <v>2370</v>
      </c>
      <c r="C664" s="1058">
        <v>20</v>
      </c>
      <c r="D664" s="1066" t="s">
        <v>74</v>
      </c>
      <c r="E664" s="1059">
        <v>33159.599999999999</v>
      </c>
      <c r="F664" s="947">
        <f t="shared" si="238"/>
        <v>663192</v>
      </c>
      <c r="G664" s="1059">
        <f>906*10</f>
        <v>9060</v>
      </c>
      <c r="H664" s="947">
        <f t="shared" si="239"/>
        <v>181200</v>
      </c>
      <c r="I664" s="947">
        <f t="shared" si="240"/>
        <v>844392</v>
      </c>
      <c r="J664" s="1066"/>
      <c r="K664" s="462"/>
      <c r="AA664" s="459"/>
      <c r="AB664" s="459"/>
    </row>
    <row r="665" spans="1:28" s="344" customFormat="1" ht="26.25" customHeight="1">
      <c r="A665" s="1066" t="s">
        <v>2376</v>
      </c>
      <c r="B665" s="995" t="s">
        <v>2371</v>
      </c>
      <c r="C665" s="1058">
        <v>6</v>
      </c>
      <c r="D665" s="1066" t="s">
        <v>74</v>
      </c>
      <c r="E665" s="1059">
        <v>6233</v>
      </c>
      <c r="F665" s="947">
        <f t="shared" si="238"/>
        <v>37398</v>
      </c>
      <c r="G665" s="1059">
        <f>177.6*10</f>
        <v>1776</v>
      </c>
      <c r="H665" s="947">
        <f t="shared" si="239"/>
        <v>10656</v>
      </c>
      <c r="I665" s="947">
        <f t="shared" si="240"/>
        <v>48054</v>
      </c>
      <c r="J665" s="1066"/>
      <c r="K665" s="462"/>
      <c r="AA665" s="459">
        <f t="shared" si="220"/>
        <v>0</v>
      </c>
      <c r="AB665" s="459">
        <f t="shared" si="220"/>
        <v>0</v>
      </c>
    </row>
    <row r="666" spans="1:28" s="344" customFormat="1" ht="26.25" customHeight="1">
      <c r="A666" s="1066" t="s">
        <v>2377</v>
      </c>
      <c r="B666" s="921" t="s">
        <v>2372</v>
      </c>
      <c r="C666" s="944">
        <v>87</v>
      </c>
      <c r="D666" s="436" t="s">
        <v>74</v>
      </c>
      <c r="E666" s="945">
        <v>745</v>
      </c>
      <c r="F666" s="1067">
        <f t="shared" si="238"/>
        <v>64815</v>
      </c>
      <c r="G666" s="945">
        <v>230</v>
      </c>
      <c r="H666" s="1067">
        <f t="shared" si="239"/>
        <v>20010</v>
      </c>
      <c r="I666" s="1067">
        <f t="shared" si="240"/>
        <v>84825</v>
      </c>
      <c r="J666" s="1066"/>
      <c r="K666" s="462"/>
      <c r="AA666" s="459"/>
      <c r="AB666" s="459"/>
    </row>
    <row r="667" spans="1:28" s="7" customFormat="1" ht="26.25" customHeight="1">
      <c r="A667" s="1066" t="s">
        <v>2378</v>
      </c>
      <c r="B667" s="921" t="s">
        <v>2373</v>
      </c>
      <c r="C667" s="944">
        <v>43</v>
      </c>
      <c r="D667" s="436" t="s">
        <v>74</v>
      </c>
      <c r="E667" s="945">
        <v>361</v>
      </c>
      <c r="F667" s="1067">
        <f t="shared" si="238"/>
        <v>15523</v>
      </c>
      <c r="G667" s="945">
        <v>111</v>
      </c>
      <c r="H667" s="1067">
        <f t="shared" si="239"/>
        <v>4773</v>
      </c>
      <c r="I667" s="1067">
        <f t="shared" si="240"/>
        <v>20296</v>
      </c>
      <c r="J667" s="436"/>
      <c r="K667" s="456"/>
      <c r="AA667" s="458">
        <f t="shared" ref="AA667:AB708" si="241">IF($B667=AA$1,$C667,0)</f>
        <v>0</v>
      </c>
      <c r="AB667" s="458">
        <f t="shared" si="241"/>
        <v>0</v>
      </c>
    </row>
    <row r="668" spans="1:28" s="7" customFormat="1" ht="26.25" customHeight="1">
      <c r="A668" s="1066" t="s">
        <v>2379</v>
      </c>
      <c r="B668" s="921" t="s">
        <v>1028</v>
      </c>
      <c r="C668" s="944">
        <v>66</v>
      </c>
      <c r="D668" s="436" t="s">
        <v>74</v>
      </c>
      <c r="E668" s="945">
        <v>1050</v>
      </c>
      <c r="F668" s="1067">
        <f t="shared" si="238"/>
        <v>69300</v>
      </c>
      <c r="G668" s="945">
        <v>340</v>
      </c>
      <c r="H668" s="1067">
        <f t="shared" si="239"/>
        <v>22440</v>
      </c>
      <c r="I668" s="1067">
        <f t="shared" si="240"/>
        <v>91740</v>
      </c>
      <c r="J668" s="436"/>
      <c r="K668" s="456"/>
      <c r="AA668" s="458">
        <f t="shared" si="241"/>
        <v>0</v>
      </c>
      <c r="AB668" s="458">
        <f t="shared" si="241"/>
        <v>0</v>
      </c>
    </row>
    <row r="669" spans="1:28" s="7" customFormat="1" ht="26.25" customHeight="1">
      <c r="A669" s="1066" t="s">
        <v>2380</v>
      </c>
      <c r="B669" s="995" t="s">
        <v>574</v>
      </c>
      <c r="C669" s="549">
        <f>ROUNDUP(((1.08*(C670+C671))*1.11)*1.578,0)</f>
        <v>50</v>
      </c>
      <c r="D669" s="1066" t="s">
        <v>85</v>
      </c>
      <c r="E669" s="946">
        <v>24.37</v>
      </c>
      <c r="F669" s="946">
        <f t="shared" si="238"/>
        <v>1218.5</v>
      </c>
      <c r="G669" s="946">
        <v>3.3</v>
      </c>
      <c r="H669" s="947">
        <f t="shared" si="239"/>
        <v>165</v>
      </c>
      <c r="I669" s="947">
        <f t="shared" si="240"/>
        <v>1383.5</v>
      </c>
      <c r="J669" s="436"/>
      <c r="K669" s="456"/>
      <c r="AA669" s="458"/>
      <c r="AB669" s="458"/>
    </row>
    <row r="670" spans="1:28" s="7" customFormat="1" ht="26.25" customHeight="1">
      <c r="A670" s="1066" t="s">
        <v>2381</v>
      </c>
      <c r="B670" s="921" t="s">
        <v>1176</v>
      </c>
      <c r="C670" s="944">
        <v>22</v>
      </c>
      <c r="D670" s="436" t="s">
        <v>1174</v>
      </c>
      <c r="E670" s="945">
        <f>142.9*12</f>
        <v>1714.8000000000002</v>
      </c>
      <c r="F670" s="946">
        <f t="shared" si="238"/>
        <v>37725.600000000006</v>
      </c>
      <c r="G670" s="945">
        <v>0</v>
      </c>
      <c r="H670" s="947">
        <f t="shared" si="239"/>
        <v>0</v>
      </c>
      <c r="I670" s="947">
        <f t="shared" si="240"/>
        <v>37725.600000000006</v>
      </c>
      <c r="J670" s="436"/>
      <c r="K670" s="456"/>
      <c r="AA670" s="458"/>
      <c r="AB670" s="458"/>
    </row>
    <row r="671" spans="1:28" s="7" customFormat="1" ht="26.25" customHeight="1">
      <c r="A671" s="1066" t="s">
        <v>2382</v>
      </c>
      <c r="B671" s="921" t="s">
        <v>1177</v>
      </c>
      <c r="C671" s="944">
        <v>4</v>
      </c>
      <c r="D671" s="436" t="s">
        <v>1174</v>
      </c>
      <c r="E671" s="945">
        <f>134.7*4</f>
        <v>538.79999999999995</v>
      </c>
      <c r="F671" s="946">
        <f t="shared" si="238"/>
        <v>2155.1999999999998</v>
      </c>
      <c r="G671" s="945">
        <v>0</v>
      </c>
      <c r="H671" s="947">
        <f t="shared" si="239"/>
        <v>0</v>
      </c>
      <c r="I671" s="947">
        <f t="shared" si="240"/>
        <v>2155.1999999999998</v>
      </c>
      <c r="J671" s="436"/>
      <c r="K671" s="456"/>
      <c r="AA671" s="458"/>
      <c r="AB671" s="458"/>
    </row>
    <row r="672" spans="1:28" s="7" customFormat="1" ht="26.25" customHeight="1">
      <c r="A672" s="1066" t="s">
        <v>2383</v>
      </c>
      <c r="B672" s="921" t="s">
        <v>1225</v>
      </c>
      <c r="C672" s="944">
        <f>ROUNDUP((((0.4*0.2)*28)/2.88),0)</f>
        <v>1</v>
      </c>
      <c r="D672" s="436" t="s">
        <v>1174</v>
      </c>
      <c r="E672" s="945">
        <v>5512.96</v>
      </c>
      <c r="F672" s="946">
        <f t="shared" si="238"/>
        <v>5512.96</v>
      </c>
      <c r="G672" s="945">
        <f>186.88*10</f>
        <v>1868.8</v>
      </c>
      <c r="H672" s="947">
        <f t="shared" si="239"/>
        <v>1868.8</v>
      </c>
      <c r="I672" s="947">
        <f t="shared" si="240"/>
        <v>7381.76</v>
      </c>
      <c r="J672" s="436"/>
      <c r="K672" s="456"/>
      <c r="AA672" s="458"/>
      <c r="AB672" s="458"/>
    </row>
    <row r="673" spans="1:28" s="7" customFormat="1" ht="26.25" customHeight="1">
      <c r="A673" s="1066" t="s">
        <v>2384</v>
      </c>
      <c r="B673" s="921" t="s">
        <v>1179</v>
      </c>
      <c r="C673" s="944">
        <f>ROUNDUP(((0.087*60)+((0.1*0.35)*16))/2.88,0)</f>
        <v>3</v>
      </c>
      <c r="D673" s="436" t="s">
        <v>1174</v>
      </c>
      <c r="E673" s="945">
        <v>8269.44</v>
      </c>
      <c r="F673" s="946">
        <f t="shared" si="238"/>
        <v>24808.32</v>
      </c>
      <c r="G673" s="945">
        <f>280.32*10</f>
        <v>2803.2</v>
      </c>
      <c r="H673" s="947">
        <f t="shared" si="239"/>
        <v>8409.5999999999985</v>
      </c>
      <c r="I673" s="947">
        <f t="shared" si="240"/>
        <v>33217.919999999998</v>
      </c>
      <c r="J673" s="436"/>
      <c r="K673" s="456"/>
      <c r="AA673" s="458"/>
      <c r="AB673" s="458"/>
    </row>
    <row r="674" spans="1:28" s="7" customFormat="1" ht="26.25" customHeight="1">
      <c r="A674" s="1066" t="s">
        <v>2385</v>
      </c>
      <c r="B674" s="921" t="s">
        <v>1178</v>
      </c>
      <c r="C674" s="944">
        <f>ROUNDUP(((0.072*56)/2.88),0)</f>
        <v>2</v>
      </c>
      <c r="D674" s="436" t="s">
        <v>1174</v>
      </c>
      <c r="E674" s="945">
        <v>6891.2</v>
      </c>
      <c r="F674" s="946">
        <f t="shared" si="238"/>
        <v>13782.4</v>
      </c>
      <c r="G674" s="945">
        <f>233.6*10</f>
        <v>2336</v>
      </c>
      <c r="H674" s="947">
        <f t="shared" si="239"/>
        <v>4672</v>
      </c>
      <c r="I674" s="947">
        <f t="shared" si="240"/>
        <v>18454.400000000001</v>
      </c>
      <c r="J674" s="436"/>
      <c r="K674" s="456"/>
      <c r="AA674" s="458"/>
      <c r="AB674" s="458"/>
    </row>
    <row r="675" spans="1:28" s="7" customFormat="1" ht="26.25" customHeight="1">
      <c r="A675" s="1066" t="s">
        <v>2386</v>
      </c>
      <c r="B675" s="921" t="s">
        <v>1187</v>
      </c>
      <c r="C675" s="944">
        <f>ROUND((0.5*((60+56)*2)+28)*4.71,0)</f>
        <v>678</v>
      </c>
      <c r="D675" s="436" t="s">
        <v>85</v>
      </c>
      <c r="E675" s="945">
        <v>35</v>
      </c>
      <c r="F675" s="946">
        <f t="shared" si="238"/>
        <v>23730</v>
      </c>
      <c r="G675" s="945">
        <v>10</v>
      </c>
      <c r="H675" s="947">
        <f t="shared" si="239"/>
        <v>6780</v>
      </c>
      <c r="I675" s="947">
        <f t="shared" si="240"/>
        <v>30510</v>
      </c>
      <c r="J675" s="436"/>
      <c r="K675" s="456"/>
      <c r="AA675" s="458"/>
      <c r="AB675" s="458"/>
    </row>
    <row r="676" spans="1:28" s="7" customFormat="1" ht="25.9" customHeight="1">
      <c r="A676" s="1066" t="s">
        <v>2387</v>
      </c>
      <c r="B676" s="921" t="s">
        <v>1110</v>
      </c>
      <c r="C676" s="944">
        <f>ROUNDUP((1.17*(C663*6))+((0.488+0.488+0.3+0.3)*(C664*6))+((0.25+0.25+0.15+0.15)*(C665*6))+((0.05*4)*(C666*6))+((0.038*4)*(C667*6))+((0.1+0.05+0.02+0.1+0.05+0.02)*(C668*6)),0)</f>
        <v>553</v>
      </c>
      <c r="D676" s="436" t="s">
        <v>278</v>
      </c>
      <c r="E676" s="893">
        <v>58</v>
      </c>
      <c r="F676" s="872">
        <f t="shared" si="238"/>
        <v>32074</v>
      </c>
      <c r="G676" s="893">
        <v>35</v>
      </c>
      <c r="H676" s="1067">
        <f t="shared" si="239"/>
        <v>19355</v>
      </c>
      <c r="I676" s="1067">
        <f t="shared" si="240"/>
        <v>51429</v>
      </c>
      <c r="J676" s="436"/>
      <c r="AA676" s="458">
        <f t="shared" si="241"/>
        <v>0</v>
      </c>
      <c r="AB676" s="458">
        <f t="shared" si="241"/>
        <v>0</v>
      </c>
    </row>
    <row r="677" spans="1:28" s="7" customFormat="1" ht="25.9" customHeight="1">
      <c r="A677" s="641"/>
      <c r="B677" s="551" t="s">
        <v>1283</v>
      </c>
      <c r="C677" s="1103"/>
      <c r="D677" s="641"/>
      <c r="E677" s="950"/>
      <c r="F677" s="915"/>
      <c r="G677" s="950"/>
      <c r="H677" s="1073"/>
      <c r="I677" s="1095">
        <f>SUM(I663:I676)</f>
        <v>1382068.38</v>
      </c>
      <c r="J677" s="641"/>
      <c r="AA677" s="458"/>
      <c r="AB677" s="458"/>
    </row>
    <row r="678" spans="1:28" s="7" customFormat="1" ht="26.25" customHeight="1">
      <c r="A678" s="528">
        <v>2.15</v>
      </c>
      <c r="B678" s="1100" t="s">
        <v>1027</v>
      </c>
      <c r="C678" s="1101"/>
      <c r="D678" s="887"/>
      <c r="E678" s="1078"/>
      <c r="F678" s="1077"/>
      <c r="G678" s="1078"/>
      <c r="H678" s="1077"/>
      <c r="I678" s="1077"/>
      <c r="J678" s="530"/>
      <c r="AA678" s="458">
        <f t="shared" si="241"/>
        <v>0</v>
      </c>
      <c r="AB678" s="458">
        <f t="shared" si="241"/>
        <v>0</v>
      </c>
    </row>
    <row r="679" spans="1:28" s="7" customFormat="1" ht="26.25" customHeight="1">
      <c r="A679" s="436" t="s">
        <v>2388</v>
      </c>
      <c r="B679" s="921" t="s">
        <v>567</v>
      </c>
      <c r="C679" s="944">
        <v>5</v>
      </c>
      <c r="D679" s="436" t="s">
        <v>545</v>
      </c>
      <c r="E679" s="1102">
        <v>2420</v>
      </c>
      <c r="F679" s="1102">
        <f t="shared" ref="F679:F687" si="242">E679*C679</f>
        <v>12100</v>
      </c>
      <c r="G679" s="1102">
        <v>306</v>
      </c>
      <c r="H679" s="1067">
        <f t="shared" ref="H679:H687" si="243">G679*C679</f>
        <v>1530</v>
      </c>
      <c r="I679" s="1067">
        <f t="shared" ref="I679:I687" si="244">H679+F679</f>
        <v>13630</v>
      </c>
      <c r="J679" s="436"/>
      <c r="AA679" s="458">
        <f t="shared" si="241"/>
        <v>0</v>
      </c>
      <c r="AB679" s="458">
        <f t="shared" si="241"/>
        <v>0</v>
      </c>
    </row>
    <row r="680" spans="1:28" s="7" customFormat="1" ht="26.25" customHeight="1">
      <c r="A680" s="436" t="s">
        <v>2389</v>
      </c>
      <c r="B680" s="921" t="s">
        <v>568</v>
      </c>
      <c r="C680" s="944">
        <v>192</v>
      </c>
      <c r="D680" s="436" t="s">
        <v>85</v>
      </c>
      <c r="E680" s="1102">
        <v>25.09</v>
      </c>
      <c r="F680" s="1102">
        <f t="shared" si="242"/>
        <v>4817.28</v>
      </c>
      <c r="G680" s="1102">
        <v>4.0999999999999996</v>
      </c>
      <c r="H680" s="1067">
        <f t="shared" si="243"/>
        <v>787.19999999999993</v>
      </c>
      <c r="I680" s="1067">
        <f t="shared" si="244"/>
        <v>5604.48</v>
      </c>
      <c r="J680" s="436"/>
      <c r="AA680" s="458">
        <f t="shared" si="241"/>
        <v>0</v>
      </c>
      <c r="AB680" s="458">
        <f t="shared" si="241"/>
        <v>0</v>
      </c>
    </row>
    <row r="681" spans="1:28" s="7" customFormat="1" ht="26.25" customHeight="1">
      <c r="A681" s="436" t="s">
        <v>2390</v>
      </c>
      <c r="B681" s="921" t="s">
        <v>569</v>
      </c>
      <c r="C681" s="833">
        <v>348</v>
      </c>
      <c r="D681" s="436" t="s">
        <v>85</v>
      </c>
      <c r="E681" s="1102">
        <v>26.36</v>
      </c>
      <c r="F681" s="1102">
        <f t="shared" si="242"/>
        <v>9173.2800000000007</v>
      </c>
      <c r="G681" s="1102">
        <v>3.3</v>
      </c>
      <c r="H681" s="1067">
        <f t="shared" si="243"/>
        <v>1148.3999999999999</v>
      </c>
      <c r="I681" s="1067">
        <f t="shared" si="244"/>
        <v>10321.68</v>
      </c>
      <c r="J681" s="436"/>
      <c r="K681" s="456"/>
      <c r="AA681" s="458">
        <f t="shared" si="241"/>
        <v>0</v>
      </c>
      <c r="AB681" s="458">
        <f t="shared" si="241"/>
        <v>0</v>
      </c>
    </row>
    <row r="682" spans="1:28" s="7" customFormat="1" ht="26.25" customHeight="1">
      <c r="A682" s="436" t="s">
        <v>2391</v>
      </c>
      <c r="B682" s="921" t="s">
        <v>574</v>
      </c>
      <c r="C682" s="833">
        <v>315</v>
      </c>
      <c r="D682" s="436" t="s">
        <v>85</v>
      </c>
      <c r="E682" s="1102">
        <v>26.36</v>
      </c>
      <c r="F682" s="1102">
        <f t="shared" si="242"/>
        <v>8303.4</v>
      </c>
      <c r="G682" s="1102">
        <v>3.3</v>
      </c>
      <c r="H682" s="1067">
        <f t="shared" si="243"/>
        <v>1039.5</v>
      </c>
      <c r="I682" s="1067">
        <f t="shared" si="244"/>
        <v>9342.9</v>
      </c>
      <c r="J682" s="436"/>
      <c r="K682" s="456"/>
      <c r="AA682" s="458">
        <f t="shared" si="241"/>
        <v>0</v>
      </c>
      <c r="AB682" s="458">
        <f t="shared" si="241"/>
        <v>0</v>
      </c>
    </row>
    <row r="683" spans="1:28" s="7" customFormat="1" ht="26.25" customHeight="1">
      <c r="A683" s="436" t="s">
        <v>2392</v>
      </c>
      <c r="B683" s="921" t="s">
        <v>570</v>
      </c>
      <c r="C683" s="833">
        <f>C684*0.025*35.31</f>
        <v>23.834250000000004</v>
      </c>
      <c r="D683" s="436" t="s">
        <v>598</v>
      </c>
      <c r="E683" s="1102">
        <f t="shared" ref="E683:E686" si="245">VLOOKUP(B683,$O$2:$Q$13,2,0)</f>
        <v>400</v>
      </c>
      <c r="F683" s="1102">
        <f t="shared" si="242"/>
        <v>9533.7000000000025</v>
      </c>
      <c r="G683" s="1102">
        <f t="shared" ref="G683:G687" si="246">VLOOKUP(B683,$O$2:$Q$13,3,0)</f>
        <v>0</v>
      </c>
      <c r="H683" s="1067">
        <f t="shared" si="243"/>
        <v>0</v>
      </c>
      <c r="I683" s="1067">
        <f t="shared" si="244"/>
        <v>9533.7000000000025</v>
      </c>
      <c r="J683" s="436"/>
      <c r="AA683" s="458">
        <f t="shared" si="241"/>
        <v>0</v>
      </c>
      <c r="AB683" s="458">
        <f t="shared" si="241"/>
        <v>0</v>
      </c>
    </row>
    <row r="684" spans="1:28" s="7" customFormat="1" ht="26.25" customHeight="1">
      <c r="A684" s="436" t="s">
        <v>2393</v>
      </c>
      <c r="B684" s="921" t="s">
        <v>1036</v>
      </c>
      <c r="C684" s="833">
        <v>27</v>
      </c>
      <c r="D684" s="436" t="s">
        <v>278</v>
      </c>
      <c r="E684" s="1102">
        <f t="shared" si="245"/>
        <v>0</v>
      </c>
      <c r="F684" s="1102">
        <f t="shared" si="242"/>
        <v>0</v>
      </c>
      <c r="G684" s="1102">
        <f t="shared" si="246"/>
        <v>133</v>
      </c>
      <c r="H684" s="1067">
        <f t="shared" si="243"/>
        <v>3591</v>
      </c>
      <c r="I684" s="1067">
        <f t="shared" si="244"/>
        <v>3591</v>
      </c>
      <c r="J684" s="436"/>
      <c r="AA684" s="458">
        <f t="shared" si="241"/>
        <v>27</v>
      </c>
      <c r="AB684" s="458">
        <f t="shared" si="241"/>
        <v>0</v>
      </c>
    </row>
    <row r="685" spans="1:28" s="7" customFormat="1" ht="26.25" customHeight="1">
      <c r="A685" s="436" t="s">
        <v>2394</v>
      </c>
      <c r="B685" s="921" t="s">
        <v>571</v>
      </c>
      <c r="C685" s="833">
        <v>3</v>
      </c>
      <c r="D685" s="1066" t="s">
        <v>598</v>
      </c>
      <c r="E685" s="1102">
        <f t="shared" si="245"/>
        <v>400</v>
      </c>
      <c r="F685" s="1102">
        <f t="shared" si="242"/>
        <v>1200</v>
      </c>
      <c r="G685" s="1102">
        <f t="shared" si="246"/>
        <v>0</v>
      </c>
      <c r="H685" s="1067">
        <f t="shared" si="243"/>
        <v>0</v>
      </c>
      <c r="I685" s="1067">
        <f t="shared" si="244"/>
        <v>1200</v>
      </c>
      <c r="J685" s="436"/>
      <c r="AA685" s="458">
        <f t="shared" si="241"/>
        <v>0</v>
      </c>
      <c r="AB685" s="458">
        <f t="shared" si="241"/>
        <v>0</v>
      </c>
    </row>
    <row r="686" spans="1:28" s="7" customFormat="1" ht="26.25" customHeight="1">
      <c r="A686" s="436" t="s">
        <v>2395</v>
      </c>
      <c r="B686" s="921" t="s">
        <v>572</v>
      </c>
      <c r="C686" s="944">
        <v>5</v>
      </c>
      <c r="D686" s="436" t="s">
        <v>85</v>
      </c>
      <c r="E686" s="1102">
        <f t="shared" si="245"/>
        <v>56.78</v>
      </c>
      <c r="F686" s="1102">
        <f t="shared" si="242"/>
        <v>283.89999999999998</v>
      </c>
      <c r="G686" s="1102">
        <f t="shared" si="246"/>
        <v>0</v>
      </c>
      <c r="H686" s="1067">
        <f t="shared" si="243"/>
        <v>0</v>
      </c>
      <c r="I686" s="1067">
        <f t="shared" si="244"/>
        <v>283.89999999999998</v>
      </c>
      <c r="J686" s="436"/>
      <c r="AA686" s="458">
        <f t="shared" si="241"/>
        <v>0</v>
      </c>
      <c r="AB686" s="458">
        <f t="shared" si="241"/>
        <v>0</v>
      </c>
    </row>
    <row r="687" spans="1:28" s="7" customFormat="1" ht="28.5" customHeight="1">
      <c r="A687" s="436" t="s">
        <v>2396</v>
      </c>
      <c r="B687" s="921" t="s">
        <v>573</v>
      </c>
      <c r="C687" s="944">
        <v>26</v>
      </c>
      <c r="D687" s="436" t="s">
        <v>85</v>
      </c>
      <c r="E687" s="1102">
        <v>33</v>
      </c>
      <c r="F687" s="1102">
        <f t="shared" si="242"/>
        <v>858</v>
      </c>
      <c r="G687" s="1102">
        <f t="shared" si="246"/>
        <v>0</v>
      </c>
      <c r="H687" s="1067">
        <f t="shared" si="243"/>
        <v>0</v>
      </c>
      <c r="I687" s="1067">
        <f t="shared" si="244"/>
        <v>858</v>
      </c>
      <c r="J687" s="436"/>
      <c r="AA687" s="458">
        <f t="shared" si="241"/>
        <v>0</v>
      </c>
      <c r="AB687" s="458">
        <f t="shared" si="241"/>
        <v>0</v>
      </c>
    </row>
    <row r="688" spans="1:28" s="7" customFormat="1" ht="28.5" customHeight="1">
      <c r="A688" s="641"/>
      <c r="B688" s="551" t="s">
        <v>1284</v>
      </c>
      <c r="C688" s="1103"/>
      <c r="D688" s="641"/>
      <c r="E688" s="1104"/>
      <c r="F688" s="1104"/>
      <c r="G688" s="1104"/>
      <c r="H688" s="1073"/>
      <c r="I688" s="1095">
        <f>SUM(I679:I687)</f>
        <v>54365.66</v>
      </c>
      <c r="J688" s="641"/>
      <c r="AA688" s="458"/>
      <c r="AB688" s="458"/>
    </row>
    <row r="689" spans="1:28" s="7" customFormat="1" ht="26.25" customHeight="1">
      <c r="A689" s="528">
        <v>2.16</v>
      </c>
      <c r="B689" s="1100" t="s">
        <v>1111</v>
      </c>
      <c r="C689" s="1101"/>
      <c r="D689" s="863"/>
      <c r="E689" s="1078"/>
      <c r="F689" s="1077"/>
      <c r="G689" s="683"/>
      <c r="H689" s="1077"/>
      <c r="I689" s="1077"/>
      <c r="J689" s="863"/>
      <c r="AA689" s="458">
        <f t="shared" si="241"/>
        <v>0</v>
      </c>
      <c r="AB689" s="458">
        <f t="shared" si="241"/>
        <v>0</v>
      </c>
    </row>
    <row r="690" spans="1:28" s="7" customFormat="1" ht="26.25" customHeight="1">
      <c r="A690" s="436" t="s">
        <v>2397</v>
      </c>
      <c r="B690" s="921" t="s">
        <v>567</v>
      </c>
      <c r="C690" s="944">
        <v>8</v>
      </c>
      <c r="D690" s="436" t="s">
        <v>545</v>
      </c>
      <c r="E690" s="1102">
        <v>2420</v>
      </c>
      <c r="F690" s="1102">
        <f t="shared" ref="F690:F697" si="247">E690*C690</f>
        <v>19360</v>
      </c>
      <c r="G690" s="1102">
        <v>306</v>
      </c>
      <c r="H690" s="1067">
        <f t="shared" ref="H690:H697" si="248">G690*C690</f>
        <v>2448</v>
      </c>
      <c r="I690" s="1067">
        <f t="shared" ref="I690:I697" si="249">H690+F690</f>
        <v>21808</v>
      </c>
      <c r="J690" s="436"/>
      <c r="AA690" s="458">
        <f t="shared" si="241"/>
        <v>0</v>
      </c>
      <c r="AB690" s="458">
        <f t="shared" si="241"/>
        <v>0</v>
      </c>
    </row>
    <row r="691" spans="1:28" s="7" customFormat="1" ht="26.25" customHeight="1">
      <c r="A691" s="436" t="s">
        <v>2398</v>
      </c>
      <c r="B691" s="921" t="s">
        <v>568</v>
      </c>
      <c r="C691" s="944">
        <v>513</v>
      </c>
      <c r="D691" s="436" t="s">
        <v>85</v>
      </c>
      <c r="E691" s="1102">
        <v>25.09</v>
      </c>
      <c r="F691" s="1102">
        <f t="shared" si="247"/>
        <v>12871.17</v>
      </c>
      <c r="G691" s="1102">
        <v>4.0999999999999996</v>
      </c>
      <c r="H691" s="1067">
        <f t="shared" si="248"/>
        <v>2103.2999999999997</v>
      </c>
      <c r="I691" s="1067">
        <f t="shared" si="249"/>
        <v>14974.47</v>
      </c>
      <c r="J691" s="436"/>
      <c r="AA691" s="458">
        <f t="shared" si="241"/>
        <v>0</v>
      </c>
      <c r="AB691" s="458">
        <f t="shared" si="241"/>
        <v>0</v>
      </c>
    </row>
    <row r="692" spans="1:28" s="7" customFormat="1" ht="26.25" customHeight="1">
      <c r="A692" s="436" t="s">
        <v>2399</v>
      </c>
      <c r="B692" s="921" t="s">
        <v>569</v>
      </c>
      <c r="C692" s="833">
        <v>209</v>
      </c>
      <c r="D692" s="436" t="s">
        <v>85</v>
      </c>
      <c r="E692" s="1102">
        <v>26.36</v>
      </c>
      <c r="F692" s="1102">
        <f t="shared" si="247"/>
        <v>5509.24</v>
      </c>
      <c r="G692" s="1102">
        <v>3.3</v>
      </c>
      <c r="H692" s="1067">
        <f t="shared" si="248"/>
        <v>689.69999999999993</v>
      </c>
      <c r="I692" s="1067">
        <f t="shared" si="249"/>
        <v>6198.94</v>
      </c>
      <c r="J692" s="436"/>
      <c r="K692" s="456"/>
      <c r="AA692" s="458">
        <f t="shared" si="241"/>
        <v>0</v>
      </c>
      <c r="AB692" s="458">
        <f t="shared" si="241"/>
        <v>0</v>
      </c>
    </row>
    <row r="693" spans="1:28" s="7" customFormat="1" ht="26.25" customHeight="1">
      <c r="A693" s="436" t="s">
        <v>2400</v>
      </c>
      <c r="B693" s="921" t="s">
        <v>570</v>
      </c>
      <c r="C693" s="833">
        <f>C694*0.025*35.31</f>
        <v>44.137500000000003</v>
      </c>
      <c r="D693" s="436" t="s">
        <v>598</v>
      </c>
      <c r="E693" s="1102">
        <f t="shared" ref="E693:E696" si="250">VLOOKUP(B693,$O$2:$Q$13,2,0)</f>
        <v>400</v>
      </c>
      <c r="F693" s="1102">
        <f t="shared" si="247"/>
        <v>17655</v>
      </c>
      <c r="G693" s="1102">
        <f t="shared" ref="G693:G697" si="251">VLOOKUP(B693,$O$2:$Q$13,3,0)</f>
        <v>0</v>
      </c>
      <c r="H693" s="1067">
        <f t="shared" si="248"/>
        <v>0</v>
      </c>
      <c r="I693" s="1067">
        <f t="shared" si="249"/>
        <v>17655</v>
      </c>
      <c r="J693" s="436"/>
      <c r="AA693" s="458">
        <f t="shared" si="241"/>
        <v>0</v>
      </c>
      <c r="AB693" s="458">
        <f t="shared" si="241"/>
        <v>0</v>
      </c>
    </row>
    <row r="694" spans="1:28" s="7" customFormat="1" ht="26.25" customHeight="1">
      <c r="A694" s="436" t="s">
        <v>2401</v>
      </c>
      <c r="B694" s="921" t="s">
        <v>1036</v>
      </c>
      <c r="C694" s="833">
        <v>50</v>
      </c>
      <c r="D694" s="436" t="s">
        <v>278</v>
      </c>
      <c r="E694" s="1102">
        <f t="shared" si="250"/>
        <v>0</v>
      </c>
      <c r="F694" s="1102">
        <f t="shared" si="247"/>
        <v>0</v>
      </c>
      <c r="G694" s="1102">
        <f t="shared" si="251"/>
        <v>133</v>
      </c>
      <c r="H694" s="1067">
        <f t="shared" si="248"/>
        <v>6650</v>
      </c>
      <c r="I694" s="1067">
        <f t="shared" si="249"/>
        <v>6650</v>
      </c>
      <c r="J694" s="436"/>
      <c r="AA694" s="458">
        <f t="shared" si="241"/>
        <v>50</v>
      </c>
      <c r="AB694" s="458">
        <f t="shared" si="241"/>
        <v>0</v>
      </c>
    </row>
    <row r="695" spans="1:28" s="7" customFormat="1" ht="26.25" customHeight="1">
      <c r="A695" s="436" t="s">
        <v>2402</v>
      </c>
      <c r="B695" s="921" t="s">
        <v>571</v>
      </c>
      <c r="C695" s="833">
        <v>5</v>
      </c>
      <c r="D695" s="1066" t="s">
        <v>598</v>
      </c>
      <c r="E695" s="1102">
        <f t="shared" si="250"/>
        <v>400</v>
      </c>
      <c r="F695" s="1102">
        <f t="shared" si="247"/>
        <v>2000</v>
      </c>
      <c r="G695" s="1102">
        <f t="shared" si="251"/>
        <v>0</v>
      </c>
      <c r="H695" s="1067">
        <f t="shared" si="248"/>
        <v>0</v>
      </c>
      <c r="I695" s="1067">
        <f t="shared" si="249"/>
        <v>2000</v>
      </c>
      <c r="J695" s="436"/>
      <c r="AA695" s="458">
        <f t="shared" si="241"/>
        <v>0</v>
      </c>
      <c r="AB695" s="458">
        <f t="shared" si="241"/>
        <v>0</v>
      </c>
    </row>
    <row r="696" spans="1:28" s="7" customFormat="1" ht="26.25" customHeight="1">
      <c r="A696" s="436" t="s">
        <v>2403</v>
      </c>
      <c r="B696" s="921" t="s">
        <v>572</v>
      </c>
      <c r="C696" s="944">
        <v>10</v>
      </c>
      <c r="D696" s="436" t="s">
        <v>85</v>
      </c>
      <c r="E696" s="1102">
        <f t="shared" si="250"/>
        <v>56.78</v>
      </c>
      <c r="F696" s="1102">
        <f t="shared" si="247"/>
        <v>567.79999999999995</v>
      </c>
      <c r="G696" s="1102">
        <f t="shared" si="251"/>
        <v>0</v>
      </c>
      <c r="H696" s="1067">
        <f t="shared" si="248"/>
        <v>0</v>
      </c>
      <c r="I696" s="1067">
        <f t="shared" si="249"/>
        <v>567.79999999999995</v>
      </c>
      <c r="J696" s="436"/>
      <c r="AA696" s="458">
        <f t="shared" si="241"/>
        <v>0</v>
      </c>
      <c r="AB696" s="458">
        <f t="shared" si="241"/>
        <v>0</v>
      </c>
    </row>
    <row r="697" spans="1:28" s="7" customFormat="1" ht="28.5" customHeight="1">
      <c r="A697" s="436" t="s">
        <v>2404</v>
      </c>
      <c r="B697" s="921" t="s">
        <v>573</v>
      </c>
      <c r="C697" s="944">
        <v>22</v>
      </c>
      <c r="D697" s="436" t="s">
        <v>85</v>
      </c>
      <c r="E697" s="1102">
        <v>33</v>
      </c>
      <c r="F697" s="1102">
        <f t="shared" si="247"/>
        <v>726</v>
      </c>
      <c r="G697" s="1102">
        <f t="shared" si="251"/>
        <v>0</v>
      </c>
      <c r="H697" s="1067">
        <f t="shared" si="248"/>
        <v>0</v>
      </c>
      <c r="I697" s="1067">
        <f t="shared" si="249"/>
        <v>726</v>
      </c>
      <c r="J697" s="436"/>
      <c r="AA697" s="458">
        <f t="shared" si="241"/>
        <v>0</v>
      </c>
      <c r="AB697" s="458">
        <f t="shared" si="241"/>
        <v>0</v>
      </c>
    </row>
    <row r="698" spans="1:28" s="7" customFormat="1" ht="28.5" customHeight="1">
      <c r="A698" s="641"/>
      <c r="B698" s="551" t="s">
        <v>1285</v>
      </c>
      <c r="C698" s="1103"/>
      <c r="D698" s="641"/>
      <c r="E698" s="1104"/>
      <c r="F698" s="1104"/>
      <c r="G698" s="1104"/>
      <c r="H698" s="1073"/>
      <c r="I698" s="1095">
        <f>SUM(I690:I697)</f>
        <v>70580.210000000006</v>
      </c>
      <c r="J698" s="641"/>
      <c r="AA698" s="458"/>
      <c r="AB698" s="458"/>
    </row>
    <row r="699" spans="1:28" s="7" customFormat="1" ht="26.25" customHeight="1">
      <c r="A699" s="528">
        <v>2.17</v>
      </c>
      <c r="B699" s="1105" t="s">
        <v>1033</v>
      </c>
      <c r="C699" s="1106">
        <v>1</v>
      </c>
      <c r="D699" s="1107" t="s">
        <v>43</v>
      </c>
      <c r="E699" s="1108"/>
      <c r="F699" s="1109"/>
      <c r="G699" s="1108"/>
      <c r="H699" s="1109"/>
      <c r="I699" s="1109"/>
      <c r="J699" s="530"/>
      <c r="AA699" s="458">
        <f t="shared" si="241"/>
        <v>0</v>
      </c>
      <c r="AB699" s="458">
        <f t="shared" si="241"/>
        <v>0</v>
      </c>
    </row>
    <row r="700" spans="1:28" s="7" customFormat="1" ht="26.25" customHeight="1">
      <c r="A700" s="765" t="s">
        <v>1057</v>
      </c>
      <c r="B700" s="1110" t="s">
        <v>1029</v>
      </c>
      <c r="C700" s="1111"/>
      <c r="D700" s="765"/>
      <c r="E700" s="1112"/>
      <c r="F700" s="1113"/>
      <c r="G700" s="764"/>
      <c r="H700" s="1113"/>
      <c r="I700" s="1113"/>
      <c r="J700" s="765"/>
      <c r="AA700" s="458">
        <f t="shared" si="241"/>
        <v>0</v>
      </c>
      <c r="AB700" s="458">
        <f t="shared" si="241"/>
        <v>0</v>
      </c>
    </row>
    <row r="701" spans="1:28" s="7" customFormat="1" ht="25.15" customHeight="1">
      <c r="A701" s="436" t="s">
        <v>2405</v>
      </c>
      <c r="B701" s="921" t="s">
        <v>1030</v>
      </c>
      <c r="C701" s="944">
        <v>210</v>
      </c>
      <c r="D701" s="436" t="s">
        <v>545</v>
      </c>
      <c r="E701" s="1102">
        <v>0</v>
      </c>
      <c r="F701" s="1102">
        <f t="shared" ref="F701:F709" si="252">E701*C701</f>
        <v>0</v>
      </c>
      <c r="G701" s="1102">
        <v>99</v>
      </c>
      <c r="H701" s="1067">
        <f t="shared" ref="H701:H709" si="253">G701*C701</f>
        <v>20790</v>
      </c>
      <c r="I701" s="1067">
        <f t="shared" ref="I701:I709" si="254">H701+F701</f>
        <v>20790</v>
      </c>
      <c r="J701" s="436"/>
      <c r="AA701" s="458">
        <f t="shared" si="241"/>
        <v>0</v>
      </c>
      <c r="AB701" s="458">
        <f t="shared" si="241"/>
        <v>0</v>
      </c>
    </row>
    <row r="702" spans="1:28" s="7" customFormat="1" ht="25.15" customHeight="1">
      <c r="A702" s="436" t="s">
        <v>2406</v>
      </c>
      <c r="B702" s="921" t="s">
        <v>565</v>
      </c>
      <c r="C702" s="944">
        <v>3</v>
      </c>
      <c r="D702" s="436" t="s">
        <v>545</v>
      </c>
      <c r="E702" s="1102">
        <v>495</v>
      </c>
      <c r="F702" s="1102">
        <f t="shared" si="252"/>
        <v>1485</v>
      </c>
      <c r="G702" s="1102">
        <v>91</v>
      </c>
      <c r="H702" s="1067">
        <f t="shared" si="253"/>
        <v>273</v>
      </c>
      <c r="I702" s="1067">
        <f t="shared" si="254"/>
        <v>1758</v>
      </c>
      <c r="J702" s="436"/>
      <c r="AA702" s="458">
        <f t="shared" si="241"/>
        <v>0</v>
      </c>
      <c r="AB702" s="458">
        <f t="shared" si="241"/>
        <v>0</v>
      </c>
    </row>
    <row r="703" spans="1:28" s="7" customFormat="1" ht="25.15" customHeight="1">
      <c r="A703" s="436" t="s">
        <v>2407</v>
      </c>
      <c r="B703" s="921" t="s">
        <v>566</v>
      </c>
      <c r="C703" s="944">
        <v>3</v>
      </c>
      <c r="D703" s="436" t="s">
        <v>545</v>
      </c>
      <c r="E703" s="1102">
        <v>2193</v>
      </c>
      <c r="F703" s="1102">
        <f t="shared" si="252"/>
        <v>6579</v>
      </c>
      <c r="G703" s="1102">
        <v>306</v>
      </c>
      <c r="H703" s="1067">
        <f t="shared" si="253"/>
        <v>918</v>
      </c>
      <c r="I703" s="1067">
        <f t="shared" si="254"/>
        <v>7497</v>
      </c>
      <c r="J703" s="436"/>
      <c r="AA703" s="458">
        <f t="shared" si="241"/>
        <v>0</v>
      </c>
      <c r="AB703" s="458">
        <f t="shared" si="241"/>
        <v>0</v>
      </c>
    </row>
    <row r="704" spans="1:28" s="7" customFormat="1" ht="26.25" customHeight="1">
      <c r="A704" s="436" t="s">
        <v>2408</v>
      </c>
      <c r="B704" s="921" t="s">
        <v>567</v>
      </c>
      <c r="C704" s="944">
        <v>13</v>
      </c>
      <c r="D704" s="436" t="s">
        <v>545</v>
      </c>
      <c r="E704" s="1102">
        <v>2420</v>
      </c>
      <c r="F704" s="1102">
        <f t="shared" si="252"/>
        <v>31460</v>
      </c>
      <c r="G704" s="1102">
        <v>306</v>
      </c>
      <c r="H704" s="1067">
        <f t="shared" si="253"/>
        <v>3978</v>
      </c>
      <c r="I704" s="1067">
        <f t="shared" si="254"/>
        <v>35438</v>
      </c>
      <c r="J704" s="436"/>
      <c r="AA704" s="458">
        <f t="shared" si="241"/>
        <v>0</v>
      </c>
      <c r="AB704" s="458">
        <f t="shared" si="241"/>
        <v>0</v>
      </c>
    </row>
    <row r="705" spans="1:28" s="7" customFormat="1" ht="26.25" customHeight="1">
      <c r="A705" s="436" t="s">
        <v>2409</v>
      </c>
      <c r="B705" s="921" t="s">
        <v>574</v>
      </c>
      <c r="C705" s="833">
        <v>1480</v>
      </c>
      <c r="D705" s="436" t="s">
        <v>85</v>
      </c>
      <c r="E705" s="1102">
        <v>26.36</v>
      </c>
      <c r="F705" s="1102">
        <f t="shared" si="252"/>
        <v>39012.799999999996</v>
      </c>
      <c r="G705" s="1102">
        <v>3.3</v>
      </c>
      <c r="H705" s="1067">
        <f t="shared" si="253"/>
        <v>4884</v>
      </c>
      <c r="I705" s="1067">
        <f t="shared" si="254"/>
        <v>43896.799999999996</v>
      </c>
      <c r="J705" s="436"/>
      <c r="K705" s="456"/>
      <c r="AA705" s="458">
        <f t="shared" si="241"/>
        <v>0</v>
      </c>
      <c r="AB705" s="458">
        <f t="shared" si="241"/>
        <v>0</v>
      </c>
    </row>
    <row r="706" spans="1:28" s="7" customFormat="1" ht="26.25" customHeight="1">
      <c r="A706" s="436" t="s">
        <v>2410</v>
      </c>
      <c r="B706" s="921" t="s">
        <v>570</v>
      </c>
      <c r="C706" s="833">
        <f>C707*0.025*35.31</f>
        <v>8.8275000000000006</v>
      </c>
      <c r="D706" s="436" t="s">
        <v>598</v>
      </c>
      <c r="E706" s="1102">
        <f t="shared" ref="E706:E708" si="255">VLOOKUP(B706,$O$2:$Q$13,2,0)</f>
        <v>400</v>
      </c>
      <c r="F706" s="1102">
        <f t="shared" si="252"/>
        <v>3531</v>
      </c>
      <c r="G706" s="1102">
        <f>VLOOKUP(B706,$O$2:$Q$13,3,0)</f>
        <v>0</v>
      </c>
      <c r="H706" s="1067">
        <f t="shared" si="253"/>
        <v>0</v>
      </c>
      <c r="I706" s="1067">
        <f t="shared" si="254"/>
        <v>3531</v>
      </c>
      <c r="J706" s="436"/>
      <c r="AA706" s="458">
        <f t="shared" si="241"/>
        <v>0</v>
      </c>
      <c r="AB706" s="458">
        <f t="shared" si="241"/>
        <v>0</v>
      </c>
    </row>
    <row r="707" spans="1:28" s="7" customFormat="1" ht="26.25" customHeight="1">
      <c r="A707" s="436" t="s">
        <v>2411</v>
      </c>
      <c r="B707" s="921" t="s">
        <v>1036</v>
      </c>
      <c r="C707" s="833">
        <v>10</v>
      </c>
      <c r="D707" s="436" t="s">
        <v>278</v>
      </c>
      <c r="E707" s="1102">
        <f t="shared" si="255"/>
        <v>0</v>
      </c>
      <c r="F707" s="1102">
        <f t="shared" si="252"/>
        <v>0</v>
      </c>
      <c r="G707" s="1102">
        <f>VLOOKUP(B707,$O$2:$Q$13,3,0)</f>
        <v>133</v>
      </c>
      <c r="H707" s="1067">
        <f t="shared" si="253"/>
        <v>1330</v>
      </c>
      <c r="I707" s="1067">
        <f t="shared" si="254"/>
        <v>1330</v>
      </c>
      <c r="J707" s="436"/>
      <c r="AA707" s="458">
        <f t="shared" si="241"/>
        <v>10</v>
      </c>
      <c r="AB707" s="458">
        <f t="shared" si="241"/>
        <v>0</v>
      </c>
    </row>
    <row r="708" spans="1:28" s="7" customFormat="1" ht="26.25" customHeight="1">
      <c r="A708" s="436" t="s">
        <v>2412</v>
      </c>
      <c r="B708" s="921" t="s">
        <v>572</v>
      </c>
      <c r="C708" s="944">
        <v>2</v>
      </c>
      <c r="D708" s="436" t="s">
        <v>85</v>
      </c>
      <c r="E708" s="1102">
        <f t="shared" si="255"/>
        <v>56.78</v>
      </c>
      <c r="F708" s="1102">
        <f t="shared" si="252"/>
        <v>113.56</v>
      </c>
      <c r="G708" s="1102">
        <f>VLOOKUP(B708,$O$2:$Q$13,3,0)</f>
        <v>0</v>
      </c>
      <c r="H708" s="1067">
        <f t="shared" si="253"/>
        <v>0</v>
      </c>
      <c r="I708" s="1067">
        <f t="shared" si="254"/>
        <v>113.56</v>
      </c>
      <c r="J708" s="436"/>
      <c r="AA708" s="458">
        <f t="shared" si="241"/>
        <v>0</v>
      </c>
      <c r="AB708" s="458">
        <f t="shared" si="241"/>
        <v>0</v>
      </c>
    </row>
    <row r="709" spans="1:28" s="7" customFormat="1" ht="26.25" customHeight="1">
      <c r="A709" s="436" t="s">
        <v>2413</v>
      </c>
      <c r="B709" s="921" t="s">
        <v>573</v>
      </c>
      <c r="C709" s="944">
        <v>44</v>
      </c>
      <c r="D709" s="436" t="s">
        <v>85</v>
      </c>
      <c r="E709" s="1102">
        <v>33</v>
      </c>
      <c r="F709" s="1102">
        <f t="shared" si="252"/>
        <v>1452</v>
      </c>
      <c r="G709" s="1102">
        <f>VLOOKUP(B709,$O$2:$Q$13,3,0)</f>
        <v>0</v>
      </c>
      <c r="H709" s="1067">
        <f t="shared" si="253"/>
        <v>0</v>
      </c>
      <c r="I709" s="1067">
        <f t="shared" si="254"/>
        <v>1452</v>
      </c>
      <c r="J709" s="436"/>
      <c r="AA709" s="458">
        <f t="shared" ref="AA709:AB745" si="256">IF($B709=AA$1,$C709,0)</f>
        <v>0</v>
      </c>
      <c r="AB709" s="458">
        <f t="shared" si="256"/>
        <v>0</v>
      </c>
    </row>
    <row r="710" spans="1:28" s="7" customFormat="1" ht="26.25" customHeight="1">
      <c r="A710" s="563"/>
      <c r="B710" s="563" t="s">
        <v>1353</v>
      </c>
      <c r="C710" s="1114"/>
      <c r="D710" s="563"/>
      <c r="E710" s="1115"/>
      <c r="F710" s="1115"/>
      <c r="G710" s="1115"/>
      <c r="H710" s="1093"/>
      <c r="I710" s="1093">
        <f>SUM(I701:I709)</f>
        <v>115806.35999999999</v>
      </c>
      <c r="J710" s="563"/>
      <c r="AA710" s="458"/>
      <c r="AB710" s="458"/>
    </row>
    <row r="711" spans="1:28" s="7" customFormat="1" ht="26.25" customHeight="1">
      <c r="A711" s="765" t="s">
        <v>1058</v>
      </c>
      <c r="B711" s="1110" t="s">
        <v>1031</v>
      </c>
      <c r="C711" s="1111"/>
      <c r="D711" s="765"/>
      <c r="E711" s="1112"/>
      <c r="F711" s="1113"/>
      <c r="G711" s="1112"/>
      <c r="H711" s="1113"/>
      <c r="I711" s="1113"/>
      <c r="J711" s="765"/>
      <c r="AA711" s="458">
        <f t="shared" si="256"/>
        <v>0</v>
      </c>
      <c r="AB711" s="458">
        <f t="shared" si="256"/>
        <v>0</v>
      </c>
    </row>
    <row r="712" spans="1:28" s="7" customFormat="1" ht="26.25" customHeight="1">
      <c r="A712" s="436" t="s">
        <v>2414</v>
      </c>
      <c r="B712" s="921" t="s">
        <v>567</v>
      </c>
      <c r="C712" s="944">
        <v>18</v>
      </c>
      <c r="D712" s="436" t="s">
        <v>545</v>
      </c>
      <c r="E712" s="1102">
        <v>2420</v>
      </c>
      <c r="F712" s="1102">
        <f t="shared" ref="F712:F720" si="257">E712*C712</f>
        <v>43560</v>
      </c>
      <c r="G712" s="1102">
        <v>306</v>
      </c>
      <c r="H712" s="1067">
        <f t="shared" ref="H712:H720" si="258">G712*C712</f>
        <v>5508</v>
      </c>
      <c r="I712" s="1067">
        <f t="shared" ref="I712:I720" si="259">H712+F712</f>
        <v>49068</v>
      </c>
      <c r="J712" s="436"/>
      <c r="AA712" s="458">
        <f t="shared" si="256"/>
        <v>0</v>
      </c>
      <c r="AB712" s="458">
        <f t="shared" si="256"/>
        <v>0</v>
      </c>
    </row>
    <row r="713" spans="1:28" s="7" customFormat="1" ht="26.25" customHeight="1">
      <c r="A713" s="436" t="s">
        <v>2415</v>
      </c>
      <c r="B713" s="921" t="s">
        <v>574</v>
      </c>
      <c r="C713" s="833">
        <v>2532</v>
      </c>
      <c r="D713" s="436" t="s">
        <v>85</v>
      </c>
      <c r="E713" s="1102">
        <v>26.36</v>
      </c>
      <c r="F713" s="1102">
        <f t="shared" si="257"/>
        <v>66743.520000000004</v>
      </c>
      <c r="G713" s="1102">
        <v>3.3</v>
      </c>
      <c r="H713" s="1067">
        <f t="shared" si="258"/>
        <v>8355.6</v>
      </c>
      <c r="I713" s="1067">
        <f t="shared" si="259"/>
        <v>75099.12000000001</v>
      </c>
      <c r="J713" s="436"/>
      <c r="K713" s="456"/>
      <c r="AA713" s="458">
        <f t="shared" si="256"/>
        <v>0</v>
      </c>
      <c r="AB713" s="458">
        <f t="shared" si="256"/>
        <v>0</v>
      </c>
    </row>
    <row r="714" spans="1:28" s="7" customFormat="1" ht="26.25" customHeight="1">
      <c r="A714" s="436" t="s">
        <v>2416</v>
      </c>
      <c r="B714" s="921" t="s">
        <v>589</v>
      </c>
      <c r="C714" s="833">
        <v>557</v>
      </c>
      <c r="D714" s="436" t="s">
        <v>85</v>
      </c>
      <c r="E714" s="1102">
        <v>26.16</v>
      </c>
      <c r="F714" s="1102">
        <f t="shared" si="257"/>
        <v>14571.12</v>
      </c>
      <c r="G714" s="1102">
        <v>2.9</v>
      </c>
      <c r="H714" s="1067">
        <f t="shared" si="258"/>
        <v>1615.3</v>
      </c>
      <c r="I714" s="1067">
        <f t="shared" si="259"/>
        <v>16186.42</v>
      </c>
      <c r="J714" s="436"/>
      <c r="K714" s="456"/>
      <c r="AA714" s="458">
        <f t="shared" si="256"/>
        <v>0</v>
      </c>
      <c r="AB714" s="458">
        <f t="shared" si="256"/>
        <v>0</v>
      </c>
    </row>
    <row r="715" spans="1:28" s="7" customFormat="1" ht="26.25" customHeight="1">
      <c r="A715" s="436" t="s">
        <v>2417</v>
      </c>
      <c r="B715" s="921" t="s">
        <v>570</v>
      </c>
      <c r="C715" s="833">
        <f>C716*0.025*35.31</f>
        <v>125.35050000000001</v>
      </c>
      <c r="D715" s="436" t="s">
        <v>598</v>
      </c>
      <c r="E715" s="1102">
        <f t="shared" ref="E715:E718" si="260">VLOOKUP(B715,$O$2:$Q$13,2,0)</f>
        <v>400</v>
      </c>
      <c r="F715" s="1102">
        <f t="shared" si="257"/>
        <v>50140.200000000004</v>
      </c>
      <c r="G715" s="1102">
        <f t="shared" ref="G715:G719" si="261">VLOOKUP(B715,$O$2:$Q$13,3,0)</f>
        <v>0</v>
      </c>
      <c r="H715" s="1067">
        <f t="shared" si="258"/>
        <v>0</v>
      </c>
      <c r="I715" s="1067">
        <f t="shared" si="259"/>
        <v>50140.200000000004</v>
      </c>
      <c r="J715" s="436"/>
      <c r="AA715" s="458">
        <f t="shared" si="256"/>
        <v>0</v>
      </c>
      <c r="AB715" s="458">
        <f t="shared" si="256"/>
        <v>0</v>
      </c>
    </row>
    <row r="716" spans="1:28" s="7" customFormat="1" ht="26.25" customHeight="1">
      <c r="A716" s="436" t="s">
        <v>2418</v>
      </c>
      <c r="B716" s="921" t="s">
        <v>1036</v>
      </c>
      <c r="C716" s="833">
        <v>142</v>
      </c>
      <c r="D716" s="436" t="s">
        <v>278</v>
      </c>
      <c r="E716" s="1102">
        <f t="shared" si="260"/>
        <v>0</v>
      </c>
      <c r="F716" s="1102">
        <f t="shared" si="257"/>
        <v>0</v>
      </c>
      <c r="G716" s="1102">
        <f t="shared" si="261"/>
        <v>133</v>
      </c>
      <c r="H716" s="1067">
        <f t="shared" si="258"/>
        <v>18886</v>
      </c>
      <c r="I716" s="1067">
        <f t="shared" si="259"/>
        <v>18886</v>
      </c>
      <c r="J716" s="436"/>
      <c r="AA716" s="458">
        <f t="shared" si="256"/>
        <v>142</v>
      </c>
      <c r="AB716" s="458">
        <f t="shared" si="256"/>
        <v>0</v>
      </c>
    </row>
    <row r="717" spans="1:28" s="7" customFormat="1" ht="26.25" customHeight="1">
      <c r="A717" s="436" t="s">
        <v>2419</v>
      </c>
      <c r="B717" s="921" t="s">
        <v>571</v>
      </c>
      <c r="C717" s="833">
        <v>47</v>
      </c>
      <c r="D717" s="1066" t="s">
        <v>598</v>
      </c>
      <c r="E717" s="1102">
        <f t="shared" si="260"/>
        <v>400</v>
      </c>
      <c r="F717" s="1102">
        <f t="shared" si="257"/>
        <v>18800</v>
      </c>
      <c r="G717" s="1102">
        <f t="shared" si="261"/>
        <v>0</v>
      </c>
      <c r="H717" s="1067">
        <f t="shared" si="258"/>
        <v>0</v>
      </c>
      <c r="I717" s="1067">
        <f t="shared" si="259"/>
        <v>18800</v>
      </c>
      <c r="J717" s="436"/>
      <c r="AA717" s="458">
        <f t="shared" si="256"/>
        <v>0</v>
      </c>
      <c r="AB717" s="458">
        <f t="shared" si="256"/>
        <v>0</v>
      </c>
    </row>
    <row r="718" spans="1:28" s="7" customFormat="1" ht="26.25" customHeight="1">
      <c r="A718" s="436" t="s">
        <v>2420</v>
      </c>
      <c r="B718" s="921" t="s">
        <v>572</v>
      </c>
      <c r="C718" s="944">
        <v>17</v>
      </c>
      <c r="D718" s="436" t="s">
        <v>85</v>
      </c>
      <c r="E718" s="1102">
        <f t="shared" si="260"/>
        <v>56.78</v>
      </c>
      <c r="F718" s="1102">
        <f t="shared" si="257"/>
        <v>965.26</v>
      </c>
      <c r="G718" s="1102">
        <f t="shared" si="261"/>
        <v>0</v>
      </c>
      <c r="H718" s="1067">
        <f t="shared" si="258"/>
        <v>0</v>
      </c>
      <c r="I718" s="1067">
        <f t="shared" si="259"/>
        <v>965.26</v>
      </c>
      <c r="J718" s="436"/>
      <c r="AA718" s="458">
        <f t="shared" si="256"/>
        <v>0</v>
      </c>
      <c r="AB718" s="458">
        <f t="shared" si="256"/>
        <v>0</v>
      </c>
    </row>
    <row r="719" spans="1:28" s="7" customFormat="1" ht="28.5" customHeight="1">
      <c r="A719" s="436" t="s">
        <v>2421</v>
      </c>
      <c r="B719" s="921" t="s">
        <v>573</v>
      </c>
      <c r="C719" s="944">
        <v>93</v>
      </c>
      <c r="D719" s="436" t="s">
        <v>85</v>
      </c>
      <c r="E719" s="1102">
        <v>33</v>
      </c>
      <c r="F719" s="1102">
        <f t="shared" si="257"/>
        <v>3069</v>
      </c>
      <c r="G719" s="1102">
        <f t="shared" si="261"/>
        <v>0</v>
      </c>
      <c r="H719" s="1067">
        <f t="shared" si="258"/>
        <v>0</v>
      </c>
      <c r="I719" s="1067">
        <f t="shared" si="259"/>
        <v>3069</v>
      </c>
      <c r="J719" s="436"/>
      <c r="AA719" s="458">
        <f t="shared" si="256"/>
        <v>0</v>
      </c>
      <c r="AB719" s="458">
        <f t="shared" si="256"/>
        <v>0</v>
      </c>
    </row>
    <row r="720" spans="1:28" s="7" customFormat="1" ht="26.25" customHeight="1">
      <c r="A720" s="436" t="s">
        <v>2422</v>
      </c>
      <c r="B720" s="921" t="s">
        <v>1032</v>
      </c>
      <c r="C720" s="944">
        <v>25</v>
      </c>
      <c r="D720" s="436" t="s">
        <v>8</v>
      </c>
      <c r="E720" s="945">
        <f>4195/25</f>
        <v>167.8</v>
      </c>
      <c r="F720" s="1102">
        <f t="shared" si="257"/>
        <v>4195</v>
      </c>
      <c r="G720" s="867">
        <v>20</v>
      </c>
      <c r="H720" s="1067">
        <f t="shared" si="258"/>
        <v>500</v>
      </c>
      <c r="I720" s="1067">
        <f t="shared" si="259"/>
        <v>4695</v>
      </c>
      <c r="J720" s="436"/>
      <c r="K720" s="1251" t="s">
        <v>1040</v>
      </c>
      <c r="L720" s="1251"/>
      <c r="AA720" s="458">
        <f t="shared" si="256"/>
        <v>0</v>
      </c>
      <c r="AB720" s="458">
        <f t="shared" si="256"/>
        <v>0</v>
      </c>
    </row>
    <row r="721" spans="1:28" s="7" customFormat="1" ht="26.25" customHeight="1">
      <c r="A721" s="941"/>
      <c r="B721" s="563" t="s">
        <v>1354</v>
      </c>
      <c r="C721" s="1116"/>
      <c r="D721" s="941"/>
      <c r="E721" s="1117"/>
      <c r="F721" s="1118"/>
      <c r="G721" s="910"/>
      <c r="H721" s="1119"/>
      <c r="I721" s="1093">
        <f>SUM(I712:I720)</f>
        <v>236909.00000000003</v>
      </c>
      <c r="J721" s="941"/>
      <c r="K721" s="1251"/>
      <c r="L721" s="1251"/>
      <c r="AA721" s="458"/>
      <c r="AB721" s="458"/>
    </row>
    <row r="722" spans="1:28" s="7" customFormat="1" ht="26.25" customHeight="1">
      <c r="A722" s="765" t="s">
        <v>1226</v>
      </c>
      <c r="B722" s="1085" t="s">
        <v>581</v>
      </c>
      <c r="C722" s="1086"/>
      <c r="D722" s="1084"/>
      <c r="E722" s="1087"/>
      <c r="F722" s="1088"/>
      <c r="G722" s="1087"/>
      <c r="H722" s="1088"/>
      <c r="I722" s="1088"/>
      <c r="J722" s="765"/>
      <c r="K722" s="1251"/>
      <c r="L722" s="1251"/>
      <c r="AA722" s="458"/>
      <c r="AB722" s="458"/>
    </row>
    <row r="723" spans="1:28" s="7" customFormat="1" ht="26.25" customHeight="1">
      <c r="A723" s="436" t="s">
        <v>2423</v>
      </c>
      <c r="B723" s="995" t="s">
        <v>567</v>
      </c>
      <c r="C723" s="1058">
        <f>ROUNDUP((4*8.2)*0.2,0)</f>
        <v>7</v>
      </c>
      <c r="D723" s="1066" t="s">
        <v>545</v>
      </c>
      <c r="E723" s="946">
        <v>2420</v>
      </c>
      <c r="F723" s="946">
        <f t="shared" ref="F723:F728" si="262">E723*C723</f>
        <v>16940</v>
      </c>
      <c r="G723" s="946">
        <v>306</v>
      </c>
      <c r="H723" s="947">
        <f t="shared" ref="H723:H728" si="263">G723*C723</f>
        <v>2142</v>
      </c>
      <c r="I723" s="947">
        <f t="shared" ref="I723:I728" si="264">H723+F723</f>
        <v>19082</v>
      </c>
      <c r="J723" s="436"/>
      <c r="K723" s="1251"/>
      <c r="L723" s="1251"/>
      <c r="AA723" s="458"/>
      <c r="AB723" s="458"/>
    </row>
    <row r="724" spans="1:28" s="7" customFormat="1" ht="26.25" customHeight="1">
      <c r="A724" s="436" t="s">
        <v>2424</v>
      </c>
      <c r="B724" s="995" t="s">
        <v>568</v>
      </c>
      <c r="C724" s="549">
        <f>ROUNDUP((((4*(8.2/0.15))+(8.2*(4/0.15)))*1.07)*0.499,0)</f>
        <v>234</v>
      </c>
      <c r="D724" s="1066" t="s">
        <v>85</v>
      </c>
      <c r="E724" s="946">
        <v>25.09</v>
      </c>
      <c r="F724" s="946">
        <f t="shared" si="262"/>
        <v>5871.06</v>
      </c>
      <c r="G724" s="946">
        <v>4.0999999999999996</v>
      </c>
      <c r="H724" s="947">
        <f t="shared" si="263"/>
        <v>959.39999999999986</v>
      </c>
      <c r="I724" s="947">
        <f t="shared" si="264"/>
        <v>6830.46</v>
      </c>
      <c r="J724" s="436"/>
      <c r="K724" s="1251"/>
      <c r="L724" s="1251"/>
      <c r="AA724" s="458"/>
      <c r="AB724" s="458"/>
    </row>
    <row r="725" spans="1:28" s="7" customFormat="1" ht="26.25" customHeight="1">
      <c r="A725" s="436" t="s">
        <v>2425</v>
      </c>
      <c r="B725" s="995" t="s">
        <v>570</v>
      </c>
      <c r="C725" s="549">
        <f>C726*0.025*35.31</f>
        <v>33.544500000000006</v>
      </c>
      <c r="D725" s="1066" t="s">
        <v>598</v>
      </c>
      <c r="E725" s="946">
        <f t="shared" ref="E725:E727" si="265">VLOOKUP(B725,$O$2:$Q$13,2,0)</f>
        <v>400</v>
      </c>
      <c r="F725" s="946">
        <f t="shared" si="262"/>
        <v>13417.800000000003</v>
      </c>
      <c r="G725" s="946">
        <f t="shared" ref="G725:G728" si="266">VLOOKUP(B725,$O$2:$Q$13,3,0)</f>
        <v>0</v>
      </c>
      <c r="H725" s="947">
        <f t="shared" si="263"/>
        <v>0</v>
      </c>
      <c r="I725" s="947">
        <f t="shared" si="264"/>
        <v>13417.800000000003</v>
      </c>
      <c r="J725" s="436"/>
      <c r="K725" s="1251"/>
      <c r="L725" s="1251"/>
      <c r="AA725" s="458"/>
      <c r="AB725" s="458"/>
    </row>
    <row r="726" spans="1:28" s="7" customFormat="1" ht="26.25" customHeight="1">
      <c r="A726" s="436" t="s">
        <v>2426</v>
      </c>
      <c r="B726" s="995" t="s">
        <v>1036</v>
      </c>
      <c r="C726" s="549">
        <f>ROUNDUP((4*8.2)+(0.2*(4+8.2+4+8.2)),0)</f>
        <v>38</v>
      </c>
      <c r="D726" s="1066" t="s">
        <v>278</v>
      </c>
      <c r="E726" s="946">
        <f t="shared" si="265"/>
        <v>0</v>
      </c>
      <c r="F726" s="946">
        <f t="shared" si="262"/>
        <v>0</v>
      </c>
      <c r="G726" s="946">
        <f t="shared" si="266"/>
        <v>133</v>
      </c>
      <c r="H726" s="947">
        <f t="shared" si="263"/>
        <v>5054</v>
      </c>
      <c r="I726" s="947">
        <f t="shared" si="264"/>
        <v>5054</v>
      </c>
      <c r="J726" s="436"/>
      <c r="K726" s="1251"/>
      <c r="L726" s="1251"/>
      <c r="AA726" s="458"/>
      <c r="AB726" s="458"/>
    </row>
    <row r="727" spans="1:28" s="7" customFormat="1" ht="26.25" customHeight="1">
      <c r="A727" s="436" t="s">
        <v>2427</v>
      </c>
      <c r="B727" s="995" t="s">
        <v>572</v>
      </c>
      <c r="C727" s="1058">
        <f>ROUNDUP(C726*0.25,0)</f>
        <v>10</v>
      </c>
      <c r="D727" s="1066" t="s">
        <v>85</v>
      </c>
      <c r="E727" s="946">
        <f t="shared" si="265"/>
        <v>56.78</v>
      </c>
      <c r="F727" s="946">
        <f t="shared" si="262"/>
        <v>567.79999999999995</v>
      </c>
      <c r="G727" s="946">
        <f t="shared" si="266"/>
        <v>0</v>
      </c>
      <c r="H727" s="947">
        <f t="shared" si="263"/>
        <v>0</v>
      </c>
      <c r="I727" s="947">
        <f t="shared" si="264"/>
        <v>567.79999999999995</v>
      </c>
      <c r="J727" s="436"/>
      <c r="K727" s="1251"/>
      <c r="L727" s="1251"/>
      <c r="AA727" s="458"/>
      <c r="AB727" s="458"/>
    </row>
    <row r="728" spans="1:28" s="7" customFormat="1" ht="26.25" customHeight="1">
      <c r="A728" s="436" t="s">
        <v>2428</v>
      </c>
      <c r="B728" s="995" t="s">
        <v>573</v>
      </c>
      <c r="C728" s="1058">
        <f>ROUNDUP(C724*0.03,0)</f>
        <v>8</v>
      </c>
      <c r="D728" s="1066" t="s">
        <v>85</v>
      </c>
      <c r="E728" s="946">
        <v>33</v>
      </c>
      <c r="F728" s="946">
        <f t="shared" si="262"/>
        <v>264</v>
      </c>
      <c r="G728" s="946">
        <f t="shared" si="266"/>
        <v>0</v>
      </c>
      <c r="H728" s="947">
        <f t="shared" si="263"/>
        <v>0</v>
      </c>
      <c r="I728" s="947">
        <f t="shared" si="264"/>
        <v>264</v>
      </c>
      <c r="J728" s="436"/>
      <c r="K728" s="1251"/>
      <c r="L728" s="1251"/>
      <c r="AA728" s="458"/>
      <c r="AB728" s="458"/>
    </row>
    <row r="729" spans="1:28" s="7" customFormat="1" ht="26.25" customHeight="1">
      <c r="A729" s="941"/>
      <c r="B729" s="563" t="s">
        <v>1338</v>
      </c>
      <c r="C729" s="1090"/>
      <c r="D729" s="1089"/>
      <c r="E729" s="1091"/>
      <c r="F729" s="1091"/>
      <c r="G729" s="1091"/>
      <c r="H729" s="1092"/>
      <c r="I729" s="1093">
        <f>SUM(I723:I728)</f>
        <v>45216.060000000005</v>
      </c>
      <c r="J729" s="941"/>
      <c r="K729" s="1251"/>
      <c r="L729" s="1251"/>
      <c r="AA729" s="458"/>
      <c r="AB729" s="458"/>
    </row>
    <row r="730" spans="1:28" s="7" customFormat="1" ht="26.25" customHeight="1">
      <c r="A730" s="641"/>
      <c r="B730" s="551" t="s">
        <v>1286</v>
      </c>
      <c r="C730" s="1071"/>
      <c r="D730" s="1072"/>
      <c r="E730" s="1094"/>
      <c r="F730" s="1094"/>
      <c r="G730" s="1094"/>
      <c r="H730" s="1081"/>
      <c r="I730" s="1095">
        <f>I710+I721+I729</f>
        <v>397931.42</v>
      </c>
      <c r="J730" s="641"/>
      <c r="K730" s="1251"/>
      <c r="L730" s="1251"/>
      <c r="AA730" s="458"/>
      <c r="AB730" s="458"/>
    </row>
    <row r="731" spans="1:28" s="7" customFormat="1" ht="26.25" customHeight="1">
      <c r="A731" s="528">
        <v>2.1800000000000002</v>
      </c>
      <c r="B731" s="1120" t="s">
        <v>1216</v>
      </c>
      <c r="C731" s="1022">
        <v>1</v>
      </c>
      <c r="D731" s="1252" t="s">
        <v>43</v>
      </c>
      <c r="E731" s="1121">
        <v>0</v>
      </c>
      <c r="F731" s="1253">
        <v>0</v>
      </c>
      <c r="G731" s="1121">
        <v>0</v>
      </c>
      <c r="H731" s="1253">
        <v>0</v>
      </c>
      <c r="I731" s="1253">
        <v>0</v>
      </c>
      <c r="J731" s="863"/>
      <c r="K731" s="1251"/>
      <c r="L731" s="1251"/>
      <c r="AA731" s="458"/>
      <c r="AB731" s="458"/>
    </row>
    <row r="732" spans="1:28" s="7" customFormat="1" ht="26.25" customHeight="1">
      <c r="A732" s="436" t="s">
        <v>2429</v>
      </c>
      <c r="B732" s="1122" t="s">
        <v>1237</v>
      </c>
      <c r="C732" s="1123">
        <f>(4*9)*C731</f>
        <v>36</v>
      </c>
      <c r="D732" s="905" t="s">
        <v>84</v>
      </c>
      <c r="E732" s="1038">
        <v>602</v>
      </c>
      <c r="F732" s="1038">
        <f t="shared" ref="F732:F743" si="267">E732*C732</f>
        <v>21672</v>
      </c>
      <c r="G732" s="879">
        <v>176</v>
      </c>
      <c r="H732" s="1038">
        <f t="shared" ref="H732:H743" si="268">G732*C732</f>
        <v>6336</v>
      </c>
      <c r="I732" s="1038">
        <f t="shared" ref="I732:I743" si="269">H732+F732</f>
        <v>28008</v>
      </c>
      <c r="J732" s="436"/>
      <c r="K732" s="1251"/>
      <c r="L732" s="1251"/>
      <c r="AA732" s="458"/>
      <c r="AB732" s="458"/>
    </row>
    <row r="733" spans="1:28" s="7" customFormat="1" ht="26.25" customHeight="1">
      <c r="A733" s="436" t="s">
        <v>2430</v>
      </c>
      <c r="B733" s="869" t="s">
        <v>1238</v>
      </c>
      <c r="C733" s="1123">
        <f>ROUNDUP((((3.5*8.2)*3.1)+(((3.5*8.2)*3.1)-((2.5*7.2)*2.55)))*C731,0)</f>
        <v>133</v>
      </c>
      <c r="D733" s="905" t="s">
        <v>545</v>
      </c>
      <c r="E733" s="1038">
        <v>0</v>
      </c>
      <c r="F733" s="1038">
        <f t="shared" si="267"/>
        <v>0</v>
      </c>
      <c r="G733" s="1124">
        <v>125</v>
      </c>
      <c r="H733" s="1038">
        <f t="shared" si="268"/>
        <v>16625</v>
      </c>
      <c r="I733" s="1038">
        <f t="shared" si="269"/>
        <v>16625</v>
      </c>
      <c r="J733" s="436"/>
      <c r="K733" s="1251"/>
      <c r="L733" s="1251"/>
      <c r="AA733" s="458"/>
      <c r="AB733" s="458"/>
    </row>
    <row r="734" spans="1:28" s="7" customFormat="1" ht="26.25" customHeight="1">
      <c r="A734" s="436" t="s">
        <v>2431</v>
      </c>
      <c r="B734" s="1125" t="s">
        <v>1239</v>
      </c>
      <c r="C734" s="1123">
        <f>ROUNDUP((((3.5*8.2)*0.1)+(((3.5*8.2)*3.1)-((2.5*7.2)*2.55)))*C731,0)</f>
        <v>46</v>
      </c>
      <c r="D734" s="905" t="s">
        <v>545</v>
      </c>
      <c r="E734" s="1038">
        <v>537.39</v>
      </c>
      <c r="F734" s="1038">
        <f t="shared" si="267"/>
        <v>24719.94</v>
      </c>
      <c r="G734" s="879">
        <v>91</v>
      </c>
      <c r="H734" s="1038">
        <f t="shared" si="268"/>
        <v>4186</v>
      </c>
      <c r="I734" s="1038">
        <f t="shared" si="269"/>
        <v>28905.94</v>
      </c>
      <c r="J734" s="436"/>
      <c r="K734" s="1251"/>
      <c r="L734" s="1251"/>
      <c r="AA734" s="458"/>
      <c r="AB734" s="458"/>
    </row>
    <row r="735" spans="1:28" s="7" customFormat="1" ht="26.25" customHeight="1">
      <c r="A735" s="436" t="s">
        <v>2432</v>
      </c>
      <c r="B735" s="1254" t="s">
        <v>1240</v>
      </c>
      <c r="C735" s="1123">
        <f>ROUNDUP(((3.5*8.2)*0.05)*C731,0)</f>
        <v>2</v>
      </c>
      <c r="D735" s="905" t="s">
        <v>545</v>
      </c>
      <c r="E735" s="1038">
        <v>2193</v>
      </c>
      <c r="F735" s="1038">
        <f t="shared" si="267"/>
        <v>4386</v>
      </c>
      <c r="G735" s="1124">
        <v>306</v>
      </c>
      <c r="H735" s="1038">
        <f t="shared" si="268"/>
        <v>612</v>
      </c>
      <c r="I735" s="1038">
        <f t="shared" si="269"/>
        <v>4998</v>
      </c>
      <c r="J735" s="436"/>
      <c r="K735" s="1251"/>
      <c r="L735" s="1251"/>
      <c r="AA735" s="458"/>
      <c r="AB735" s="458"/>
    </row>
    <row r="736" spans="1:28" s="7" customFormat="1" ht="26.25" customHeight="1">
      <c r="A736" s="436" t="s">
        <v>2433</v>
      </c>
      <c r="B736" s="1254" t="s">
        <v>1241</v>
      </c>
      <c r="C736" s="1123">
        <f>ROUNDUP(((3.5*8.2)*0.25)*C731,0)</f>
        <v>8</v>
      </c>
      <c r="D736" s="905" t="s">
        <v>545</v>
      </c>
      <c r="E736" s="879">
        <v>2420</v>
      </c>
      <c r="F736" s="1038">
        <f t="shared" si="267"/>
        <v>19360</v>
      </c>
      <c r="G736" s="1124">
        <v>306</v>
      </c>
      <c r="H736" s="1038">
        <f t="shared" si="268"/>
        <v>2448</v>
      </c>
      <c r="I736" s="1038">
        <f t="shared" si="269"/>
        <v>21808</v>
      </c>
      <c r="J736" s="436"/>
      <c r="K736" s="1251"/>
      <c r="L736" s="1251"/>
      <c r="AA736" s="458"/>
      <c r="AB736" s="458"/>
    </row>
    <row r="737" spans="1:28" s="7" customFormat="1" ht="26.25" customHeight="1">
      <c r="A737" s="436" t="s">
        <v>2434</v>
      </c>
      <c r="B737" s="869" t="s">
        <v>568</v>
      </c>
      <c r="C737" s="1126">
        <f>ROUNDUP((((((4.5*(2.4/0.25))+(2.4*(4.5/0.25)))*2)*C731)*1.07)*0.499,0)</f>
        <v>93</v>
      </c>
      <c r="D737" s="905" t="s">
        <v>85</v>
      </c>
      <c r="E737" s="879">
        <v>25.09</v>
      </c>
      <c r="F737" s="1038">
        <f t="shared" si="267"/>
        <v>2333.37</v>
      </c>
      <c r="G737" s="1124">
        <v>4.0999999999999996</v>
      </c>
      <c r="H737" s="1038">
        <f t="shared" si="268"/>
        <v>381.29999999999995</v>
      </c>
      <c r="I737" s="1038">
        <f t="shared" si="269"/>
        <v>2714.67</v>
      </c>
      <c r="J737" s="436"/>
      <c r="K737" s="1251"/>
      <c r="L737" s="1251"/>
      <c r="AA737" s="458"/>
      <c r="AB737" s="458"/>
    </row>
    <row r="738" spans="1:28" s="7" customFormat="1" ht="26.25" customHeight="1">
      <c r="A738" s="436" t="s">
        <v>2435</v>
      </c>
      <c r="B738" s="869" t="s">
        <v>569</v>
      </c>
      <c r="C738" s="1126">
        <f>ROUNDUP((((1.2*4)*C731)*1.09)*0.888,0)</f>
        <v>5</v>
      </c>
      <c r="D738" s="905" t="s">
        <v>85</v>
      </c>
      <c r="E738" s="879">
        <v>26.36</v>
      </c>
      <c r="F738" s="1038">
        <f t="shared" si="267"/>
        <v>131.80000000000001</v>
      </c>
      <c r="G738" s="1124">
        <v>3.3</v>
      </c>
      <c r="H738" s="1038">
        <f t="shared" si="268"/>
        <v>16.5</v>
      </c>
      <c r="I738" s="1038">
        <f t="shared" si="269"/>
        <v>148.30000000000001</v>
      </c>
      <c r="J738" s="436"/>
      <c r="K738" s="1251"/>
      <c r="L738" s="1251"/>
      <c r="AA738" s="458"/>
      <c r="AB738" s="458"/>
    </row>
    <row r="739" spans="1:28" s="7" customFormat="1" ht="26.25" customHeight="1">
      <c r="A739" s="436" t="s">
        <v>2436</v>
      </c>
      <c r="B739" s="995" t="s">
        <v>570</v>
      </c>
      <c r="C739" s="879">
        <f>ROUND(C740*35.31*0.025,0)</f>
        <v>5</v>
      </c>
      <c r="D739" s="1127" t="s">
        <v>598</v>
      </c>
      <c r="E739" s="879">
        <v>400</v>
      </c>
      <c r="F739" s="1038">
        <f t="shared" si="267"/>
        <v>2000</v>
      </c>
      <c r="G739" s="879">
        <v>0</v>
      </c>
      <c r="H739" s="1038">
        <f t="shared" si="268"/>
        <v>0</v>
      </c>
      <c r="I739" s="1038">
        <f t="shared" si="269"/>
        <v>2000</v>
      </c>
      <c r="J739" s="436"/>
      <c r="K739" s="1251"/>
      <c r="L739" s="1251"/>
      <c r="AA739" s="458"/>
      <c r="AB739" s="458"/>
    </row>
    <row r="740" spans="1:28" s="7" customFormat="1" ht="26.25" customHeight="1">
      <c r="A740" s="436" t="s">
        <v>2437</v>
      </c>
      <c r="B740" s="995" t="s">
        <v>1036</v>
      </c>
      <c r="C740" s="879">
        <f>ROUNDUP(((3.5+3.5+8.2+8.2)*0.25)*C731,0)</f>
        <v>6</v>
      </c>
      <c r="D740" s="1127" t="s">
        <v>6</v>
      </c>
      <c r="E740" s="879">
        <v>0</v>
      </c>
      <c r="F740" s="1038">
        <f t="shared" si="267"/>
        <v>0</v>
      </c>
      <c r="G740" s="879">
        <v>133</v>
      </c>
      <c r="H740" s="1038">
        <f t="shared" si="268"/>
        <v>798</v>
      </c>
      <c r="I740" s="1038">
        <f t="shared" si="269"/>
        <v>798</v>
      </c>
      <c r="J740" s="436"/>
      <c r="K740" s="1251"/>
      <c r="L740" s="1251"/>
      <c r="AA740" s="458"/>
      <c r="AB740" s="458"/>
    </row>
    <row r="741" spans="1:28" s="7" customFormat="1" ht="26.25" customHeight="1">
      <c r="A741" s="436" t="s">
        <v>2438</v>
      </c>
      <c r="B741" s="1254" t="s">
        <v>572</v>
      </c>
      <c r="C741" s="879">
        <f>ROUND(0.25*C740,0)</f>
        <v>2</v>
      </c>
      <c r="D741" s="905" t="s">
        <v>85</v>
      </c>
      <c r="E741" s="1038">
        <v>56.78</v>
      </c>
      <c r="F741" s="1038">
        <f t="shared" si="267"/>
        <v>113.56</v>
      </c>
      <c r="G741" s="879">
        <v>0</v>
      </c>
      <c r="H741" s="1038">
        <f t="shared" si="268"/>
        <v>0</v>
      </c>
      <c r="I741" s="1038">
        <f t="shared" si="269"/>
        <v>113.56</v>
      </c>
      <c r="J741" s="436"/>
      <c r="K741" s="1251"/>
      <c r="L741" s="1251"/>
      <c r="AA741" s="458"/>
      <c r="AB741" s="458"/>
    </row>
    <row r="742" spans="1:28" s="7" customFormat="1" ht="26.25" customHeight="1">
      <c r="A742" s="436" t="s">
        <v>2439</v>
      </c>
      <c r="B742" s="869" t="s">
        <v>573</v>
      </c>
      <c r="C742" s="1123">
        <f>ROUNDUP((C737+C738)*0.03,0)</f>
        <v>3</v>
      </c>
      <c r="D742" s="905" t="s">
        <v>85</v>
      </c>
      <c r="E742" s="879">
        <v>33</v>
      </c>
      <c r="F742" s="1038">
        <f t="shared" si="267"/>
        <v>99</v>
      </c>
      <c r="G742" s="1038">
        <v>0</v>
      </c>
      <c r="H742" s="1038">
        <f t="shared" si="268"/>
        <v>0</v>
      </c>
      <c r="I742" s="1038">
        <f t="shared" si="269"/>
        <v>99</v>
      </c>
      <c r="J742" s="436"/>
      <c r="K742" s="1251"/>
      <c r="L742" s="1251"/>
      <c r="AA742" s="458"/>
      <c r="AB742" s="458"/>
    </row>
    <row r="743" spans="1:28" s="7" customFormat="1" ht="26.25" customHeight="1">
      <c r="A743" s="436" t="s">
        <v>2440</v>
      </c>
      <c r="B743" s="1128" t="s">
        <v>1242</v>
      </c>
      <c r="C743" s="1129">
        <v>6</v>
      </c>
      <c r="D743" s="905" t="s">
        <v>37</v>
      </c>
      <c r="E743" s="879">
        <v>350</v>
      </c>
      <c r="F743" s="1038">
        <f t="shared" si="267"/>
        <v>2100</v>
      </c>
      <c r="G743" s="1038">
        <v>50</v>
      </c>
      <c r="H743" s="1038">
        <f t="shared" si="268"/>
        <v>300</v>
      </c>
      <c r="I743" s="1038">
        <f t="shared" si="269"/>
        <v>2400</v>
      </c>
      <c r="J743" s="436"/>
      <c r="K743" s="1251"/>
      <c r="L743" s="1251"/>
      <c r="AA743" s="458"/>
      <c r="AB743" s="458"/>
    </row>
    <row r="744" spans="1:28" ht="26.25" customHeight="1">
      <c r="A744" s="641"/>
      <c r="B744" s="551" t="s">
        <v>1287</v>
      </c>
      <c r="C744" s="636"/>
      <c r="D744" s="641"/>
      <c r="E744" s="917"/>
      <c r="F744" s="917"/>
      <c r="G744" s="917"/>
      <c r="H744" s="917"/>
      <c r="I744" s="886">
        <f>SUM(I732:I743)</f>
        <v>108618.47</v>
      </c>
      <c r="J744" s="1255"/>
      <c r="L744" s="6"/>
      <c r="M744" s="6"/>
      <c r="N744" s="6"/>
      <c r="O744" s="7"/>
      <c r="P744" s="7"/>
      <c r="Q744" s="7"/>
      <c r="R744" s="7"/>
      <c r="S744" s="7"/>
      <c r="T744" s="6"/>
      <c r="U744" s="6"/>
      <c r="V744" s="6"/>
      <c r="AA744" s="1244">
        <f t="shared" si="256"/>
        <v>0</v>
      </c>
      <c r="AB744" s="1244">
        <f t="shared" si="256"/>
        <v>0</v>
      </c>
    </row>
    <row r="745" spans="1:28" ht="26.25" customHeight="1">
      <c r="A745" s="493"/>
      <c r="B745" s="494" t="s">
        <v>1192</v>
      </c>
      <c r="C745" s="495"/>
      <c r="D745" s="493"/>
      <c r="E745" s="496"/>
      <c r="F745" s="496"/>
      <c r="G745" s="496"/>
      <c r="H745" s="496"/>
      <c r="I745" s="496">
        <f>I22+I26+I68+I120+I265+I307+I359+I451+I479+I531+I623+I641+I661+I677+I688+I698+I730+I744</f>
        <v>8748357.6100000013</v>
      </c>
      <c r="J745" s="497"/>
      <c r="L745" s="6"/>
      <c r="M745" s="6"/>
      <c r="N745" s="6"/>
      <c r="O745" s="7"/>
      <c r="P745" s="7"/>
      <c r="Q745" s="7"/>
      <c r="R745" s="7"/>
      <c r="S745" s="6"/>
      <c r="T745" s="6"/>
      <c r="U745" s="6"/>
      <c r="V745" s="6"/>
      <c r="AA745" s="1244">
        <f t="shared" si="256"/>
        <v>0</v>
      </c>
      <c r="AB745" s="1244">
        <f t="shared" si="256"/>
        <v>0</v>
      </c>
    </row>
  </sheetData>
  <mergeCells count="26">
    <mergeCell ref="I12:I13"/>
    <mergeCell ref="J12:J13"/>
    <mergeCell ref="G17:H17"/>
    <mergeCell ref="G20:H20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conditionalFormatting sqref="B739:B740">
    <cfRule type="cellIs" dxfId="0" priority="1" operator="equal">
      <formula>"เหล็กเส้น"</formula>
    </cfRule>
  </conditionalFormatting>
  <hyperlinks>
    <hyperlink ref="K720" r:id="rId1"/>
  </hyperlinks>
  <printOptions horizontalCentered="1"/>
  <pageMargins left="0.31496062992125984" right="0.16" top="0.32" bottom="0.24" header="0.26" footer="0.19"/>
  <pageSetup paperSize="9" scale="65" fitToHeight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N237"/>
  <sheetViews>
    <sheetView topLeftCell="A111" zoomScale="80" zoomScaleNormal="80" zoomScaleSheetLayoutView="80" workbookViewId="0">
      <selection activeCell="E77" sqref="E77"/>
    </sheetView>
  </sheetViews>
  <sheetFormatPr defaultColWidth="8.7109375" defaultRowHeight="24"/>
  <cols>
    <col min="1" max="1" width="11.7109375" style="39" customWidth="1"/>
    <col min="2" max="2" width="80.710937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6.710937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SUM(AA2:AA13)</f>
        <v>0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SUM(AA7:AA796)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1687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7" t="s">
        <v>1</v>
      </c>
      <c r="C12" s="1419" t="s">
        <v>13</v>
      </c>
      <c r="D12" s="1419" t="s">
        <v>12</v>
      </c>
      <c r="E12" s="1419" t="s">
        <v>14</v>
      </c>
      <c r="F12" s="1419"/>
      <c r="G12" s="1419" t="s">
        <v>15</v>
      </c>
      <c r="H12" s="1419"/>
      <c r="I12" s="1422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7"/>
      <c r="C13" s="1419"/>
      <c r="D13" s="1419"/>
      <c r="E13" s="1140" t="s">
        <v>35</v>
      </c>
      <c r="F13" s="1140" t="s">
        <v>16</v>
      </c>
      <c r="G13" s="1140" t="s">
        <v>35</v>
      </c>
      <c r="H13" s="1140" t="s">
        <v>16</v>
      </c>
      <c r="I13" s="1423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SUM(AB2:AB13)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 ht="26.25" customHeight="1">
      <c r="A14" s="751">
        <v>3</v>
      </c>
      <c r="B14" s="751" t="s">
        <v>77</v>
      </c>
      <c r="C14" s="1272"/>
      <c r="D14" s="1273"/>
      <c r="E14" s="1274"/>
      <c r="F14" s="1274"/>
      <c r="G14" s="1274"/>
      <c r="H14" s="1274"/>
      <c r="I14" s="1274"/>
      <c r="J14" s="753"/>
      <c r="L14" s="6"/>
      <c r="M14" s="6"/>
      <c r="N14" s="6"/>
      <c r="O14" s="7"/>
      <c r="P14" s="7"/>
      <c r="Q14" s="7"/>
      <c r="R14" s="6"/>
      <c r="S14" s="6"/>
      <c r="T14" s="6"/>
      <c r="U14" s="6"/>
      <c r="V14" s="6"/>
    </row>
    <row r="15" spans="1:28" ht="26.25" customHeight="1">
      <c r="A15" s="1275">
        <v>3.1</v>
      </c>
      <c r="B15" s="554" t="s">
        <v>115</v>
      </c>
      <c r="C15" s="1276"/>
      <c r="D15" s="1277"/>
      <c r="E15" s="1278"/>
      <c r="F15" s="1278"/>
      <c r="G15" s="1278"/>
      <c r="H15" s="1278"/>
      <c r="I15" s="1278"/>
      <c r="J15" s="556"/>
      <c r="L15" s="6"/>
      <c r="M15" s="6"/>
      <c r="N15" s="6"/>
      <c r="O15" s="7"/>
      <c r="P15" s="7"/>
      <c r="Q15" s="7"/>
      <c r="R15" s="6"/>
      <c r="S15" s="6"/>
      <c r="T15" s="6"/>
      <c r="U15" s="6"/>
      <c r="V15" s="6"/>
    </row>
    <row r="16" spans="1:28" ht="26.25" customHeight="1">
      <c r="A16" s="528" t="s">
        <v>118</v>
      </c>
      <c r="B16" s="755" t="s">
        <v>75</v>
      </c>
      <c r="C16" s="887"/>
      <c r="D16" s="863"/>
      <c r="E16" s="683"/>
      <c r="F16" s="683"/>
      <c r="G16" s="683"/>
      <c r="H16" s="683"/>
      <c r="I16" s="683"/>
      <c r="J16" s="86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26.25" customHeight="1">
      <c r="A17" s="436" t="s">
        <v>1688</v>
      </c>
      <c r="B17" s="864" t="s">
        <v>1048</v>
      </c>
      <c r="C17" s="865">
        <f>'ปร1(1)'!C47</f>
        <v>305</v>
      </c>
      <c r="D17" s="747" t="s">
        <v>6</v>
      </c>
      <c r="E17" s="866">
        <v>350</v>
      </c>
      <c r="F17" s="833">
        <f t="shared" ref="F17:F21" si="2">+E17*C17</f>
        <v>106750</v>
      </c>
      <c r="G17" s="866">
        <v>158</v>
      </c>
      <c r="H17" s="833">
        <f t="shared" ref="H17:H21" si="3">+G17*C17</f>
        <v>48190</v>
      </c>
      <c r="I17" s="867">
        <f t="shared" ref="I17:I21" si="4">+H17+F17</f>
        <v>154940</v>
      </c>
      <c r="J17" s="868" t="s">
        <v>1049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26.25" customHeight="1">
      <c r="A18" s="436" t="s">
        <v>1689</v>
      </c>
      <c r="B18" s="864" t="s">
        <v>1047</v>
      </c>
      <c r="C18" s="865">
        <f>'ปร1(1)'!D47</f>
        <v>167</v>
      </c>
      <c r="D18" s="747" t="s">
        <v>6</v>
      </c>
      <c r="E18" s="866">
        <v>350</v>
      </c>
      <c r="F18" s="833">
        <f t="shared" si="2"/>
        <v>58450</v>
      </c>
      <c r="G18" s="866">
        <v>158</v>
      </c>
      <c r="H18" s="833">
        <f t="shared" si="3"/>
        <v>26386</v>
      </c>
      <c r="I18" s="867">
        <f t="shared" si="4"/>
        <v>84836</v>
      </c>
      <c r="J18" s="868" t="s">
        <v>1049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26.25" customHeight="1">
      <c r="A19" s="436" t="s">
        <v>1690</v>
      </c>
      <c r="B19" s="864" t="s">
        <v>611</v>
      </c>
      <c r="C19" s="865">
        <f>'ปร1(1)'!E47</f>
        <v>275</v>
      </c>
      <c r="D19" s="747" t="s">
        <v>6</v>
      </c>
      <c r="E19" s="866">
        <v>393</v>
      </c>
      <c r="F19" s="833">
        <f t="shared" si="2"/>
        <v>108075</v>
      </c>
      <c r="G19" s="866">
        <v>50</v>
      </c>
      <c r="H19" s="833">
        <f t="shared" si="3"/>
        <v>13750</v>
      </c>
      <c r="I19" s="867">
        <f t="shared" si="4"/>
        <v>121825</v>
      </c>
      <c r="J19" s="43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26.25" customHeight="1">
      <c r="A20" s="436" t="s">
        <v>1691</v>
      </c>
      <c r="B20" s="864" t="s">
        <v>1046</v>
      </c>
      <c r="C20" s="865">
        <f>'ปร1(1)'!F47</f>
        <v>478</v>
      </c>
      <c r="D20" s="747" t="s">
        <v>6</v>
      </c>
      <c r="E20" s="866">
        <v>350</v>
      </c>
      <c r="F20" s="833">
        <f t="shared" si="2"/>
        <v>167300</v>
      </c>
      <c r="G20" s="866">
        <v>158</v>
      </c>
      <c r="H20" s="833">
        <f t="shared" si="3"/>
        <v>75524</v>
      </c>
      <c r="I20" s="867">
        <f t="shared" si="4"/>
        <v>242824</v>
      </c>
      <c r="J20" s="868" t="s">
        <v>1049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6.25" customHeight="1">
      <c r="A21" s="436" t="s">
        <v>1692</v>
      </c>
      <c r="B21" s="864" t="s">
        <v>1045</v>
      </c>
      <c r="C21" s="865">
        <f>'ปร1(1)'!G47</f>
        <v>491</v>
      </c>
      <c r="D21" s="747" t="s">
        <v>6</v>
      </c>
      <c r="E21" s="866">
        <v>350</v>
      </c>
      <c r="F21" s="833">
        <f t="shared" si="2"/>
        <v>171850</v>
      </c>
      <c r="G21" s="866">
        <v>158</v>
      </c>
      <c r="H21" s="833">
        <f t="shared" si="3"/>
        <v>77578</v>
      </c>
      <c r="I21" s="867">
        <f t="shared" si="4"/>
        <v>249428</v>
      </c>
      <c r="J21" s="868" t="s">
        <v>1049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26.25" customHeight="1">
      <c r="A22" s="436" t="s">
        <v>1693</v>
      </c>
      <c r="B22" s="864" t="s">
        <v>554</v>
      </c>
      <c r="C22" s="865">
        <f>'ปร1(1)'!H47</f>
        <v>96</v>
      </c>
      <c r="D22" s="747" t="s">
        <v>6</v>
      </c>
      <c r="E22" s="866">
        <v>113</v>
      </c>
      <c r="F22" s="833">
        <f>+E22*C22</f>
        <v>10848</v>
      </c>
      <c r="G22" s="866">
        <v>82</v>
      </c>
      <c r="H22" s="833">
        <f>+G22*C22</f>
        <v>7872</v>
      </c>
      <c r="I22" s="867">
        <f>+H22+F22</f>
        <v>18720</v>
      </c>
      <c r="J22" s="43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26.25" customHeight="1">
      <c r="A23" s="436" t="s">
        <v>1694</v>
      </c>
      <c r="B23" s="864" t="s">
        <v>1044</v>
      </c>
      <c r="C23" s="865">
        <f>'ปร1(1)'!I47</f>
        <v>112</v>
      </c>
      <c r="D23" s="747" t="s">
        <v>6</v>
      </c>
      <c r="E23" s="866">
        <v>350</v>
      </c>
      <c r="F23" s="833">
        <f t="shared" ref="F23" si="5">+E23*C23</f>
        <v>39200</v>
      </c>
      <c r="G23" s="866">
        <v>158</v>
      </c>
      <c r="H23" s="833">
        <f t="shared" ref="H23" si="6">+G23*C23</f>
        <v>17696</v>
      </c>
      <c r="I23" s="867">
        <f t="shared" ref="I23" si="7">+H23+F23</f>
        <v>56896</v>
      </c>
      <c r="J23" s="868" t="s">
        <v>1049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7" customFormat="1">
      <c r="A24" s="436" t="s">
        <v>1695</v>
      </c>
      <c r="B24" s="869" t="s">
        <v>600</v>
      </c>
      <c r="C24" s="870">
        <f>'ปร1(1)'!J47</f>
        <v>637</v>
      </c>
      <c r="D24" s="871" t="s">
        <v>6</v>
      </c>
      <c r="E24" s="872">
        <v>123</v>
      </c>
      <c r="F24" s="872">
        <f>E24*C24</f>
        <v>78351</v>
      </c>
      <c r="G24" s="872">
        <v>82</v>
      </c>
      <c r="H24" s="873">
        <f>G24*C24</f>
        <v>52234</v>
      </c>
      <c r="I24" s="873">
        <f>H24+F24</f>
        <v>130585</v>
      </c>
      <c r="J24" s="874"/>
      <c r="O24" s="6"/>
      <c r="P24" s="6"/>
      <c r="Q24" s="6"/>
      <c r="R24" s="6"/>
      <c r="S24" s="6"/>
    </row>
    <row r="25" spans="1:22" ht="49.15" customHeight="1">
      <c r="A25" s="905" t="s">
        <v>1696</v>
      </c>
      <c r="B25" s="875" t="s">
        <v>1265</v>
      </c>
      <c r="C25" s="876">
        <f>'ปร1(1)'!K47</f>
        <v>151</v>
      </c>
      <c r="D25" s="749" t="s">
        <v>6</v>
      </c>
      <c r="E25" s="878">
        <v>451</v>
      </c>
      <c r="F25" s="877">
        <f t="shared" ref="F25:F27" si="8">+E25*C25</f>
        <v>68101</v>
      </c>
      <c r="G25" s="878">
        <v>50</v>
      </c>
      <c r="H25" s="877">
        <f t="shared" ref="H25:H27" si="9">+G25*C25</f>
        <v>7550</v>
      </c>
      <c r="I25" s="879">
        <f t="shared" ref="I25:I27" si="10">+H25+F25</f>
        <v>75651</v>
      </c>
      <c r="J25" s="436"/>
      <c r="L25" s="6"/>
      <c r="M25" s="6"/>
      <c r="N25" s="6"/>
      <c r="O25" s="6"/>
      <c r="P25" s="6"/>
      <c r="Q25" s="6"/>
      <c r="R25" s="6"/>
      <c r="S25" s="7"/>
      <c r="T25" s="6"/>
      <c r="U25" s="6"/>
      <c r="V25" s="6"/>
    </row>
    <row r="26" spans="1:22" ht="49.15" customHeight="1">
      <c r="A26" s="905" t="s">
        <v>1697</v>
      </c>
      <c r="B26" s="875" t="s">
        <v>616</v>
      </c>
      <c r="C26" s="876">
        <f>'ปร1(1)'!L47</f>
        <v>189</v>
      </c>
      <c r="D26" s="749" t="s">
        <v>6</v>
      </c>
      <c r="E26" s="878">
        <v>393</v>
      </c>
      <c r="F26" s="877">
        <f t="shared" si="8"/>
        <v>74277</v>
      </c>
      <c r="G26" s="878">
        <v>50</v>
      </c>
      <c r="H26" s="877">
        <f t="shared" si="9"/>
        <v>9450</v>
      </c>
      <c r="I26" s="879">
        <f t="shared" si="10"/>
        <v>83727</v>
      </c>
      <c r="J26" s="43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6.25" customHeight="1">
      <c r="A27" s="436" t="s">
        <v>1698</v>
      </c>
      <c r="B27" s="880" t="s">
        <v>626</v>
      </c>
      <c r="C27" s="881">
        <f>'ปร1(1)'!N47</f>
        <v>23</v>
      </c>
      <c r="D27" s="882" t="s">
        <v>278</v>
      </c>
      <c r="E27" s="883">
        <v>0</v>
      </c>
      <c r="F27" s="883">
        <f t="shared" si="8"/>
        <v>0</v>
      </c>
      <c r="G27" s="883">
        <v>45</v>
      </c>
      <c r="H27" s="883">
        <f t="shared" si="9"/>
        <v>1035</v>
      </c>
      <c r="I27" s="883">
        <f t="shared" si="10"/>
        <v>1035</v>
      </c>
      <c r="J27" s="436"/>
      <c r="O27" s="6"/>
      <c r="P27" s="6"/>
      <c r="Q27" s="6"/>
      <c r="R27" s="6"/>
      <c r="S27" s="6"/>
    </row>
    <row r="28" spans="1:22" ht="26.25" customHeight="1">
      <c r="A28" s="436" t="s">
        <v>1699</v>
      </c>
      <c r="B28" s="864" t="s">
        <v>280</v>
      </c>
      <c r="C28" s="865">
        <f>'ปร1(1)'!O47</f>
        <v>151</v>
      </c>
      <c r="D28" s="747" t="s">
        <v>6</v>
      </c>
      <c r="E28" s="866">
        <v>83</v>
      </c>
      <c r="F28" s="833">
        <f>+E28*C28</f>
        <v>12533</v>
      </c>
      <c r="G28" s="866">
        <v>61</v>
      </c>
      <c r="H28" s="833">
        <f>+G28*C28</f>
        <v>9211</v>
      </c>
      <c r="I28" s="867">
        <f>+H28+F28</f>
        <v>21744</v>
      </c>
      <c r="J28" s="436"/>
      <c r="L28" s="6"/>
      <c r="M28" s="6"/>
      <c r="N28" s="6"/>
      <c r="O28" s="7"/>
      <c r="P28" s="7"/>
      <c r="Q28" s="7"/>
      <c r="R28" s="6"/>
      <c r="T28" s="6"/>
      <c r="U28" s="6"/>
      <c r="V28" s="6"/>
    </row>
    <row r="29" spans="1:22" ht="26.25" customHeight="1">
      <c r="A29" s="641"/>
      <c r="B29" s="884" t="s">
        <v>1288</v>
      </c>
      <c r="C29" s="636"/>
      <c r="D29" s="641"/>
      <c r="E29" s="885"/>
      <c r="F29" s="636"/>
      <c r="G29" s="885"/>
      <c r="H29" s="636"/>
      <c r="I29" s="886">
        <f>SUM(I17:I28)</f>
        <v>1242211</v>
      </c>
      <c r="J29" s="641"/>
      <c r="L29" s="6"/>
      <c r="M29" s="6"/>
      <c r="N29" s="6"/>
      <c r="O29" s="7"/>
      <c r="P29" s="7"/>
      <c r="Q29" s="7"/>
      <c r="R29" s="6"/>
      <c r="T29" s="6"/>
      <c r="U29" s="6"/>
      <c r="V29" s="6"/>
    </row>
    <row r="30" spans="1:22" s="336" customFormat="1" ht="26.25" customHeight="1">
      <c r="A30" s="528" t="s">
        <v>119</v>
      </c>
      <c r="B30" s="679" t="s">
        <v>38</v>
      </c>
      <c r="C30" s="887"/>
      <c r="D30" s="863"/>
      <c r="E30" s="683"/>
      <c r="F30" s="683"/>
      <c r="G30" s="683"/>
      <c r="H30" s="683"/>
      <c r="I30" s="683"/>
      <c r="J30" s="863"/>
      <c r="L30" s="337"/>
      <c r="M30" s="337"/>
      <c r="N30" s="337"/>
      <c r="O30" s="6"/>
      <c r="P30" s="6"/>
      <c r="Q30" s="6"/>
      <c r="R30" s="6"/>
      <c r="S30" s="6"/>
      <c r="T30" s="337"/>
      <c r="U30" s="337"/>
      <c r="V30" s="337"/>
    </row>
    <row r="31" spans="1:22" s="336" customFormat="1" ht="26.25" customHeight="1">
      <c r="A31" s="888" t="s">
        <v>1370</v>
      </c>
      <c r="B31" s="889" t="s">
        <v>7</v>
      </c>
      <c r="C31" s="618"/>
      <c r="D31" s="765"/>
      <c r="E31" s="764"/>
      <c r="F31" s="764"/>
      <c r="G31" s="764"/>
      <c r="H31" s="764"/>
      <c r="I31" s="764"/>
      <c r="J31" s="765"/>
      <c r="L31" s="337"/>
      <c r="M31" s="337"/>
      <c r="N31" s="337"/>
      <c r="O31" s="6"/>
      <c r="P31" s="6"/>
      <c r="Q31" s="6"/>
      <c r="R31" s="1"/>
      <c r="S31" s="337"/>
      <c r="T31" s="337"/>
      <c r="U31" s="337"/>
      <c r="V31" s="337"/>
    </row>
    <row r="32" spans="1:22" s="343" customFormat="1">
      <c r="A32" s="890" t="s">
        <v>1700</v>
      </c>
      <c r="B32" s="868" t="s">
        <v>552</v>
      </c>
      <c r="C32" s="891">
        <f>'ปร1(1)'!Q47</f>
        <v>1736</v>
      </c>
      <c r="D32" s="892" t="s">
        <v>6</v>
      </c>
      <c r="E32" s="893">
        <v>273</v>
      </c>
      <c r="F32" s="872">
        <f t="shared" ref="F32:F37" si="11">E32*C32</f>
        <v>473928</v>
      </c>
      <c r="G32" s="893">
        <v>56</v>
      </c>
      <c r="H32" s="873">
        <f t="shared" ref="H32:H37" si="12">G32*C32</f>
        <v>97216</v>
      </c>
      <c r="I32" s="873">
        <f t="shared" ref="I32:I37" si="13">H32+F32</f>
        <v>571144</v>
      </c>
      <c r="J32" s="874"/>
      <c r="O32" s="6"/>
      <c r="P32" s="6"/>
      <c r="Q32" s="6"/>
      <c r="R32" s="6"/>
      <c r="S32" s="337"/>
    </row>
    <row r="33" spans="1:22" s="343" customFormat="1">
      <c r="A33" s="890" t="s">
        <v>1701</v>
      </c>
      <c r="B33" s="868" t="s">
        <v>553</v>
      </c>
      <c r="C33" s="891">
        <f>'ปร1(1)'!R47</f>
        <v>316</v>
      </c>
      <c r="D33" s="892" t="s">
        <v>6</v>
      </c>
      <c r="E33" s="872">
        <v>284</v>
      </c>
      <c r="F33" s="872">
        <f t="shared" si="11"/>
        <v>89744</v>
      </c>
      <c r="G33" s="872">
        <v>89</v>
      </c>
      <c r="H33" s="873">
        <f t="shared" si="12"/>
        <v>28124</v>
      </c>
      <c r="I33" s="873">
        <f t="shared" si="13"/>
        <v>117868</v>
      </c>
      <c r="J33" s="874"/>
      <c r="O33" s="1"/>
      <c r="P33" s="1"/>
      <c r="Q33" s="1"/>
      <c r="R33" s="337"/>
    </row>
    <row r="34" spans="1:22" s="343" customFormat="1">
      <c r="A34" s="890" t="s">
        <v>1702</v>
      </c>
      <c r="B34" s="868" t="s">
        <v>601</v>
      </c>
      <c r="C34" s="891">
        <f>'ปร1(1)'!S47</f>
        <v>493</v>
      </c>
      <c r="D34" s="892" t="s">
        <v>6</v>
      </c>
      <c r="E34" s="872">
        <v>615</v>
      </c>
      <c r="F34" s="872">
        <f t="shared" si="11"/>
        <v>303195</v>
      </c>
      <c r="G34" s="872">
        <v>120</v>
      </c>
      <c r="H34" s="873">
        <f t="shared" si="12"/>
        <v>59160</v>
      </c>
      <c r="I34" s="873">
        <f t="shared" si="13"/>
        <v>362355</v>
      </c>
      <c r="J34" s="874"/>
      <c r="O34" s="6"/>
      <c r="P34" s="6"/>
      <c r="Q34" s="6"/>
      <c r="R34" s="337"/>
    </row>
    <row r="35" spans="1:22" s="343" customFormat="1">
      <c r="A35" s="890" t="s">
        <v>1703</v>
      </c>
      <c r="B35" s="868" t="s">
        <v>602</v>
      </c>
      <c r="C35" s="891">
        <f>'ปร1(1)'!T47</f>
        <v>129</v>
      </c>
      <c r="D35" s="892" t="s">
        <v>6</v>
      </c>
      <c r="E35" s="872">
        <v>303</v>
      </c>
      <c r="F35" s="872">
        <f t="shared" si="11"/>
        <v>39087</v>
      </c>
      <c r="G35" s="872">
        <v>100</v>
      </c>
      <c r="H35" s="873">
        <f t="shared" si="12"/>
        <v>12900</v>
      </c>
      <c r="I35" s="873">
        <f t="shared" si="13"/>
        <v>51987</v>
      </c>
      <c r="J35" s="874"/>
      <c r="O35" s="337"/>
      <c r="P35" s="337"/>
      <c r="Q35" s="337"/>
    </row>
    <row r="36" spans="1:22" s="343" customFormat="1">
      <c r="A36" s="890" t="s">
        <v>1704</v>
      </c>
      <c r="B36" s="894" t="s">
        <v>1229</v>
      </c>
      <c r="C36" s="891">
        <f>ROUNDUP(C35/2.88,0)</f>
        <v>45</v>
      </c>
      <c r="D36" s="892" t="s">
        <v>1174</v>
      </c>
      <c r="E36" s="872">
        <v>352.07</v>
      </c>
      <c r="F36" s="872">
        <f t="shared" si="11"/>
        <v>15843.15</v>
      </c>
      <c r="G36" s="872">
        <v>50</v>
      </c>
      <c r="H36" s="873">
        <f t="shared" si="12"/>
        <v>2250</v>
      </c>
      <c r="I36" s="873">
        <f t="shared" si="13"/>
        <v>18093.150000000001</v>
      </c>
      <c r="J36" s="874"/>
      <c r="K36" s="343" t="s">
        <v>767</v>
      </c>
      <c r="O36" s="337"/>
      <c r="P36" s="337"/>
      <c r="Q36" s="337"/>
    </row>
    <row r="37" spans="1:22" s="343" customFormat="1">
      <c r="A37" s="890" t="s">
        <v>1705</v>
      </c>
      <c r="B37" s="868" t="s">
        <v>393</v>
      </c>
      <c r="C37" s="891">
        <f>'ปร1(1)'!P47</f>
        <v>753</v>
      </c>
      <c r="D37" s="892" t="s">
        <v>394</v>
      </c>
      <c r="E37" s="893">
        <v>79</v>
      </c>
      <c r="F37" s="872">
        <f t="shared" si="11"/>
        <v>59487</v>
      </c>
      <c r="G37" s="893">
        <v>44</v>
      </c>
      <c r="H37" s="873">
        <f t="shared" si="12"/>
        <v>33132</v>
      </c>
      <c r="I37" s="873">
        <f t="shared" si="13"/>
        <v>92619</v>
      </c>
      <c r="J37" s="874"/>
    </row>
    <row r="38" spans="1:22" s="343" customFormat="1">
      <c r="A38" s="895"/>
      <c r="B38" s="896" t="s">
        <v>1372</v>
      </c>
      <c r="C38" s="897"/>
      <c r="D38" s="898"/>
      <c r="E38" s="899"/>
      <c r="F38" s="900"/>
      <c r="G38" s="899"/>
      <c r="H38" s="901"/>
      <c r="I38" s="902">
        <f>SUM(I32:I37)</f>
        <v>1214066.1499999999</v>
      </c>
      <c r="J38" s="903"/>
    </row>
    <row r="39" spans="1:22" s="336" customFormat="1" ht="26.25" customHeight="1">
      <c r="A39" s="888" t="s">
        <v>1371</v>
      </c>
      <c r="B39" s="904" t="s">
        <v>9</v>
      </c>
      <c r="C39" s="618"/>
      <c r="D39" s="765"/>
      <c r="E39" s="764"/>
      <c r="F39" s="764"/>
      <c r="G39" s="764"/>
      <c r="H39" s="764"/>
      <c r="I39" s="764"/>
      <c r="J39" s="765"/>
      <c r="L39" s="337"/>
      <c r="M39" s="337"/>
      <c r="N39" s="337"/>
      <c r="O39" s="343"/>
      <c r="P39" s="343"/>
      <c r="Q39" s="343"/>
      <c r="R39" s="343"/>
      <c r="S39" s="343"/>
      <c r="T39" s="337"/>
      <c r="U39" s="337"/>
      <c r="V39" s="337"/>
    </row>
    <row r="40" spans="1:22" s="343" customFormat="1">
      <c r="A40" s="890" t="s">
        <v>1706</v>
      </c>
      <c r="B40" s="868" t="s">
        <v>395</v>
      </c>
      <c r="C40" s="891">
        <f>'ปร1(1)'!U47</f>
        <v>3035</v>
      </c>
      <c r="D40" s="892" t="s">
        <v>6</v>
      </c>
      <c r="E40" s="893">
        <v>120</v>
      </c>
      <c r="F40" s="872">
        <f t="shared" ref="F40:F42" si="14">E40*C40</f>
        <v>364200</v>
      </c>
      <c r="G40" s="893">
        <v>80</v>
      </c>
      <c r="H40" s="873">
        <f t="shared" ref="H40:H42" si="15">G40*C40</f>
        <v>242800</v>
      </c>
      <c r="I40" s="873">
        <f t="shared" ref="I40:I42" si="16">H40+F40</f>
        <v>607000</v>
      </c>
      <c r="J40" s="905"/>
      <c r="S40" s="337"/>
    </row>
    <row r="41" spans="1:22" s="343" customFormat="1">
      <c r="A41" s="890" t="s">
        <v>1707</v>
      </c>
      <c r="B41" s="868" t="s">
        <v>396</v>
      </c>
      <c r="C41" s="891">
        <f>'ปร1(1)'!V47</f>
        <v>145</v>
      </c>
      <c r="D41" s="892" t="s">
        <v>6</v>
      </c>
      <c r="E41" s="893">
        <v>75</v>
      </c>
      <c r="F41" s="872">
        <f t="shared" si="14"/>
        <v>10875</v>
      </c>
      <c r="G41" s="893">
        <v>95</v>
      </c>
      <c r="H41" s="873">
        <f t="shared" si="15"/>
        <v>13775</v>
      </c>
      <c r="I41" s="873">
        <f t="shared" si="16"/>
        <v>24650</v>
      </c>
      <c r="J41" s="905"/>
    </row>
    <row r="42" spans="1:22" s="343" customFormat="1">
      <c r="A42" s="890" t="s">
        <v>1708</v>
      </c>
      <c r="B42" s="868" t="s">
        <v>397</v>
      </c>
      <c r="C42" s="891">
        <f>'ปร1(1)'!W47</f>
        <v>277</v>
      </c>
      <c r="D42" s="892" t="s">
        <v>6</v>
      </c>
      <c r="E42" s="893">
        <v>75</v>
      </c>
      <c r="F42" s="872">
        <f t="shared" si="14"/>
        <v>20775</v>
      </c>
      <c r="G42" s="893">
        <v>82</v>
      </c>
      <c r="H42" s="873">
        <f t="shared" si="15"/>
        <v>22714</v>
      </c>
      <c r="I42" s="873">
        <f t="shared" si="16"/>
        <v>43489</v>
      </c>
      <c r="J42" s="874"/>
      <c r="R42" s="337"/>
    </row>
    <row r="43" spans="1:22" s="344" customFormat="1">
      <c r="A43" s="890" t="s">
        <v>1709</v>
      </c>
      <c r="B43" s="906" t="s">
        <v>1043</v>
      </c>
      <c r="C43" s="872">
        <f>'ปร1(1)'!X47</f>
        <v>242</v>
      </c>
      <c r="D43" s="907" t="s">
        <v>6</v>
      </c>
      <c r="E43" s="908">
        <v>318</v>
      </c>
      <c r="F43" s="833">
        <f>+E43*C43</f>
        <v>76956</v>
      </c>
      <c r="G43" s="866">
        <v>181</v>
      </c>
      <c r="H43" s="833">
        <f>+G43*C43</f>
        <v>43802</v>
      </c>
      <c r="I43" s="867">
        <f>+H43+F43</f>
        <v>120758</v>
      </c>
      <c r="J43" s="868"/>
      <c r="O43" s="343"/>
      <c r="P43" s="343"/>
      <c r="Q43" s="343"/>
      <c r="R43" s="343"/>
      <c r="S43" s="343"/>
    </row>
    <row r="44" spans="1:22" s="344" customFormat="1">
      <c r="A44" s="895"/>
      <c r="B44" s="896" t="s">
        <v>1373</v>
      </c>
      <c r="C44" s="900"/>
      <c r="D44" s="909"/>
      <c r="E44" s="910"/>
      <c r="F44" s="565"/>
      <c r="G44" s="911"/>
      <c r="H44" s="565"/>
      <c r="I44" s="912">
        <f>SUM(I40:I43)</f>
        <v>795897</v>
      </c>
      <c r="J44" s="1279"/>
      <c r="O44" s="343"/>
      <c r="P44" s="343"/>
      <c r="Q44" s="343"/>
      <c r="R44" s="343"/>
      <c r="S44" s="343"/>
    </row>
    <row r="45" spans="1:22" s="344" customFormat="1">
      <c r="A45" s="913"/>
      <c r="B45" s="914" t="s">
        <v>1289</v>
      </c>
      <c r="C45" s="915"/>
      <c r="D45" s="916"/>
      <c r="E45" s="917"/>
      <c r="F45" s="636"/>
      <c r="G45" s="885"/>
      <c r="H45" s="636"/>
      <c r="I45" s="886">
        <f>I38+I44</f>
        <v>2009963.15</v>
      </c>
      <c r="J45" s="1280"/>
      <c r="O45" s="343"/>
      <c r="P45" s="343"/>
      <c r="Q45" s="343"/>
      <c r="R45" s="343"/>
      <c r="S45" s="343"/>
    </row>
    <row r="46" spans="1:22" ht="26.25" customHeight="1">
      <c r="A46" s="918" t="s">
        <v>120</v>
      </c>
      <c r="B46" s="755" t="s">
        <v>87</v>
      </c>
      <c r="C46" s="887"/>
      <c r="D46" s="863"/>
      <c r="E46" s="683"/>
      <c r="F46" s="887"/>
      <c r="G46" s="683"/>
      <c r="H46" s="887"/>
      <c r="I46" s="683"/>
      <c r="J46" s="919"/>
      <c r="L46" s="6"/>
      <c r="M46" s="6"/>
      <c r="N46" s="6"/>
      <c r="O46" s="337"/>
      <c r="P46" s="337"/>
      <c r="Q46" s="337"/>
      <c r="R46" s="343"/>
      <c r="S46" s="344"/>
      <c r="T46" s="6"/>
      <c r="U46" s="6"/>
      <c r="V46" s="6"/>
    </row>
    <row r="47" spans="1:22" ht="26.25" customHeight="1">
      <c r="A47" s="920" t="s">
        <v>1645</v>
      </c>
      <c r="B47" s="921" t="s">
        <v>1050</v>
      </c>
      <c r="C47" s="865">
        <f>'ปร1(1)'!Z47</f>
        <v>1088</v>
      </c>
      <c r="D47" s="747" t="s">
        <v>6</v>
      </c>
      <c r="E47" s="908">
        <v>298</v>
      </c>
      <c r="F47" s="833">
        <f>+E47*C47</f>
        <v>324224</v>
      </c>
      <c r="G47" s="866">
        <v>75</v>
      </c>
      <c r="H47" s="833">
        <f>+G47*C47</f>
        <v>81600</v>
      </c>
      <c r="I47" s="867">
        <f>+H47+F47</f>
        <v>405824</v>
      </c>
      <c r="J47" s="922"/>
      <c r="L47" s="6"/>
      <c r="M47" s="6"/>
      <c r="N47" s="6"/>
      <c r="O47" s="343"/>
      <c r="P47" s="343"/>
      <c r="Q47" s="343"/>
      <c r="R47" s="343"/>
      <c r="S47" s="6"/>
      <c r="T47" s="6"/>
      <c r="U47" s="6"/>
      <c r="V47" s="6"/>
    </row>
    <row r="48" spans="1:22" ht="26.25" customHeight="1">
      <c r="A48" s="920" t="s">
        <v>1710</v>
      </c>
      <c r="B48" s="921" t="s">
        <v>1051</v>
      </c>
      <c r="C48" s="865">
        <f>'ปร1(1)'!AA47</f>
        <v>198</v>
      </c>
      <c r="D48" s="747" t="s">
        <v>6</v>
      </c>
      <c r="E48" s="908">
        <v>343</v>
      </c>
      <c r="F48" s="833">
        <f>+E48*C48</f>
        <v>67914</v>
      </c>
      <c r="G48" s="866">
        <v>75</v>
      </c>
      <c r="H48" s="833">
        <f>+G48*C48</f>
        <v>14850</v>
      </c>
      <c r="I48" s="867">
        <f>+H48+F48</f>
        <v>82764</v>
      </c>
      <c r="J48" s="922"/>
      <c r="L48" s="6"/>
      <c r="M48" s="6"/>
      <c r="N48" s="6"/>
      <c r="O48" s="343"/>
      <c r="P48" s="343"/>
      <c r="Q48" s="343"/>
      <c r="R48" s="344"/>
      <c r="S48" s="6"/>
      <c r="T48" s="6"/>
      <c r="U48" s="6"/>
      <c r="V48" s="6"/>
    </row>
    <row r="49" spans="1:22" ht="26.25" customHeight="1">
      <c r="A49" s="920" t="s">
        <v>1711</v>
      </c>
      <c r="B49" s="921" t="s">
        <v>1052</v>
      </c>
      <c r="C49" s="865">
        <f>'ปร1(1)'!AB47</f>
        <v>707</v>
      </c>
      <c r="D49" s="747" t="s">
        <v>6</v>
      </c>
      <c r="E49" s="908">
        <v>100</v>
      </c>
      <c r="F49" s="833">
        <f>+E49*C49</f>
        <v>70700</v>
      </c>
      <c r="G49" s="866">
        <v>82</v>
      </c>
      <c r="H49" s="833">
        <f>+G49*C49</f>
        <v>57974</v>
      </c>
      <c r="I49" s="867">
        <f>+H49+F49</f>
        <v>128674</v>
      </c>
      <c r="J49" s="922"/>
      <c r="L49" s="6"/>
      <c r="M49" s="6"/>
      <c r="N49" s="6"/>
      <c r="O49" s="343"/>
      <c r="P49" s="343"/>
      <c r="Q49" s="343"/>
      <c r="R49" s="6"/>
      <c r="S49" s="6"/>
      <c r="T49" s="6"/>
      <c r="U49" s="6"/>
      <c r="V49" s="6"/>
    </row>
    <row r="50" spans="1:22" ht="49.15" customHeight="1">
      <c r="A50" s="920" t="s">
        <v>1712</v>
      </c>
      <c r="B50" s="923" t="s">
        <v>1059</v>
      </c>
      <c r="C50" s="876">
        <f>'ปร1(1)'!AC47</f>
        <v>151</v>
      </c>
      <c r="D50" s="749" t="s">
        <v>6</v>
      </c>
      <c r="E50" s="1039">
        <v>398</v>
      </c>
      <c r="F50" s="877">
        <f>+E50*C50</f>
        <v>60098</v>
      </c>
      <c r="G50" s="878">
        <v>90</v>
      </c>
      <c r="H50" s="877">
        <f>+G50*C50</f>
        <v>13590</v>
      </c>
      <c r="I50" s="879">
        <f>+H50+F50</f>
        <v>73688</v>
      </c>
      <c r="J50" s="922"/>
      <c r="L50" s="6"/>
      <c r="M50" s="6"/>
      <c r="N50" s="6"/>
      <c r="O50" s="344"/>
      <c r="P50" s="344"/>
      <c r="Q50" s="344"/>
      <c r="R50" s="6"/>
      <c r="S50" s="6"/>
      <c r="T50" s="6"/>
      <c r="U50" s="6"/>
      <c r="V50" s="6"/>
    </row>
    <row r="51" spans="1:22" ht="25.5" customHeight="1">
      <c r="A51" s="914"/>
      <c r="B51" s="924" t="s">
        <v>1290</v>
      </c>
      <c r="C51" s="925"/>
      <c r="D51" s="552"/>
      <c r="E51" s="926"/>
      <c r="F51" s="925"/>
      <c r="G51" s="927"/>
      <c r="H51" s="925"/>
      <c r="I51" s="928">
        <f>SUM(I47:I50)</f>
        <v>690950</v>
      </c>
      <c r="J51" s="929"/>
      <c r="L51" s="6"/>
      <c r="M51" s="6"/>
      <c r="N51" s="6"/>
      <c r="O51" s="344"/>
      <c r="P51" s="344"/>
      <c r="Q51" s="344"/>
      <c r="R51" s="6"/>
      <c r="S51" s="6"/>
      <c r="T51" s="6"/>
      <c r="U51" s="6"/>
      <c r="V51" s="6"/>
    </row>
    <row r="52" spans="1:22" s="220" customFormat="1">
      <c r="A52" s="930" t="s">
        <v>121</v>
      </c>
      <c r="B52" s="931" t="s">
        <v>399</v>
      </c>
      <c r="C52" s="932"/>
      <c r="D52" s="933"/>
      <c r="E52" s="932"/>
      <c r="F52" s="932"/>
      <c r="G52" s="932"/>
      <c r="H52" s="932"/>
      <c r="I52" s="932"/>
      <c r="J52" s="919"/>
      <c r="O52" s="6"/>
      <c r="P52" s="6"/>
      <c r="Q52" s="6"/>
      <c r="R52" s="6"/>
      <c r="S52" s="6"/>
    </row>
    <row r="53" spans="1:22" s="221" customFormat="1">
      <c r="A53" s="934" t="s">
        <v>402</v>
      </c>
      <c r="B53" s="935" t="s">
        <v>388</v>
      </c>
      <c r="C53" s="936"/>
      <c r="D53" s="937"/>
      <c r="E53" s="936"/>
      <c r="F53" s="936"/>
      <c r="G53" s="936"/>
      <c r="H53" s="936"/>
      <c r="I53" s="936"/>
      <c r="J53" s="938"/>
      <c r="O53" s="6"/>
      <c r="P53" s="6"/>
      <c r="Q53" s="6"/>
      <c r="R53" s="6"/>
      <c r="S53" s="220"/>
    </row>
    <row r="54" spans="1:22" s="7" customFormat="1">
      <c r="A54" s="436" t="s">
        <v>1713</v>
      </c>
      <c r="B54" s="868" t="s">
        <v>400</v>
      </c>
      <c r="C54" s="1145"/>
      <c r="D54" s="1145"/>
      <c r="E54" s="939"/>
      <c r="F54" s="939"/>
      <c r="G54" s="939"/>
      <c r="H54" s="939"/>
      <c r="I54" s="939"/>
      <c r="J54" s="922"/>
      <c r="O54" s="6"/>
      <c r="P54" s="6"/>
      <c r="Q54" s="6"/>
      <c r="R54" s="6"/>
      <c r="S54" s="221"/>
    </row>
    <row r="55" spans="1:22" s="7" customFormat="1">
      <c r="A55" s="436" t="s">
        <v>1715</v>
      </c>
      <c r="B55" s="868" t="s">
        <v>608</v>
      </c>
      <c r="C55" s="1145">
        <f>'ปร1(1)'!F15</f>
        <v>35</v>
      </c>
      <c r="D55" s="1145" t="s">
        <v>6</v>
      </c>
      <c r="E55" s="1433" t="s">
        <v>401</v>
      </c>
      <c r="F55" s="1433"/>
      <c r="G55" s="1433"/>
      <c r="H55" s="1433"/>
      <c r="I55" s="939"/>
      <c r="J55" s="922"/>
      <c r="O55" s="6"/>
      <c r="P55" s="6"/>
      <c r="Q55" s="6"/>
      <c r="R55" s="220"/>
    </row>
    <row r="56" spans="1:22" s="7" customFormat="1">
      <c r="A56" s="436" t="s">
        <v>1716</v>
      </c>
      <c r="B56" s="868" t="s">
        <v>621</v>
      </c>
      <c r="C56" s="1145">
        <f>ROUNDUP(1.35*44,0)</f>
        <v>60</v>
      </c>
      <c r="D56" s="1145" t="s">
        <v>8</v>
      </c>
      <c r="E56" s="891">
        <v>200</v>
      </c>
      <c r="F56" s="872">
        <f t="shared" ref="F56" si="17">E56*C56</f>
        <v>12000</v>
      </c>
      <c r="G56" s="939">
        <v>40</v>
      </c>
      <c r="H56" s="873">
        <f t="shared" ref="H56" si="18">G56*C56</f>
        <v>2400</v>
      </c>
      <c r="I56" s="873">
        <f t="shared" ref="I56" si="19">H56+F56</f>
        <v>14400</v>
      </c>
      <c r="J56" s="922"/>
      <c r="O56" s="6"/>
      <c r="P56" s="6"/>
      <c r="Q56" s="6"/>
      <c r="R56" s="221"/>
    </row>
    <row r="57" spans="1:22" s="7" customFormat="1">
      <c r="A57" s="436" t="s">
        <v>1714</v>
      </c>
      <c r="B57" s="868" t="s">
        <v>411</v>
      </c>
      <c r="C57" s="1145"/>
      <c r="D57" s="1145"/>
      <c r="E57" s="939"/>
      <c r="F57" s="939"/>
      <c r="G57" s="939"/>
      <c r="H57" s="939"/>
      <c r="I57" s="939"/>
      <c r="J57" s="922"/>
      <c r="O57" s="220"/>
      <c r="P57" s="220"/>
      <c r="Q57" s="220"/>
    </row>
    <row r="58" spans="1:22" s="7" customFormat="1">
      <c r="A58" s="436" t="s">
        <v>1717</v>
      </c>
      <c r="B58" s="868" t="s">
        <v>623</v>
      </c>
      <c r="C58" s="893">
        <f>ROUNDUP((3.43+0.15+3.43+0.15+3.43+0.15+3.43+1.42)*3.81,0)</f>
        <v>60</v>
      </c>
      <c r="D58" s="905" t="s">
        <v>85</v>
      </c>
      <c r="E58" s="891">
        <v>38</v>
      </c>
      <c r="F58" s="872">
        <f t="shared" ref="F58:F59" si="20">E58*C58</f>
        <v>2280</v>
      </c>
      <c r="G58" s="939">
        <v>10</v>
      </c>
      <c r="H58" s="873">
        <f t="shared" ref="H58:H61" si="21">G58*C58</f>
        <v>600</v>
      </c>
      <c r="I58" s="873">
        <f t="shared" ref="I58:I61" si="22">H58+F58</f>
        <v>2880</v>
      </c>
      <c r="J58" s="922"/>
      <c r="O58" s="221"/>
      <c r="P58" s="221"/>
      <c r="Q58" s="221"/>
    </row>
    <row r="59" spans="1:22" s="7" customFormat="1">
      <c r="A59" s="436" t="s">
        <v>1718</v>
      </c>
      <c r="B59" s="868" t="s">
        <v>408</v>
      </c>
      <c r="C59" s="893">
        <f>ROUNDUP(28*0.9*2.44,0)</f>
        <v>62</v>
      </c>
      <c r="D59" s="905" t="s">
        <v>85</v>
      </c>
      <c r="E59" s="891">
        <v>38</v>
      </c>
      <c r="F59" s="872">
        <f t="shared" si="20"/>
        <v>2356</v>
      </c>
      <c r="G59" s="939">
        <v>10</v>
      </c>
      <c r="H59" s="873">
        <f t="shared" si="21"/>
        <v>620</v>
      </c>
      <c r="I59" s="873">
        <f t="shared" si="22"/>
        <v>2976</v>
      </c>
      <c r="J59" s="922"/>
    </row>
    <row r="60" spans="1:22" s="7" customFormat="1">
      <c r="A60" s="436" t="s">
        <v>1719</v>
      </c>
      <c r="B60" s="868" t="s">
        <v>409</v>
      </c>
      <c r="C60" s="893">
        <f>ROUNDUP((C58/3.81*3)*2.36,0)</f>
        <v>112</v>
      </c>
      <c r="D60" s="905" t="s">
        <v>85</v>
      </c>
      <c r="E60" s="939">
        <v>40</v>
      </c>
      <c r="F60" s="940">
        <f>ROUND(E60*C60,2)</f>
        <v>4480</v>
      </c>
      <c r="G60" s="939">
        <v>10</v>
      </c>
      <c r="H60" s="873">
        <f t="shared" si="21"/>
        <v>1120</v>
      </c>
      <c r="I60" s="873">
        <f t="shared" si="22"/>
        <v>5600</v>
      </c>
      <c r="J60" s="922"/>
    </row>
    <row r="61" spans="1:22" s="7" customFormat="1">
      <c r="A61" s="436" t="s">
        <v>1720</v>
      </c>
      <c r="B61" s="868" t="s">
        <v>1236</v>
      </c>
      <c r="C61" s="893">
        <f>ROUNDUP((0.075*2+0.0375*2)*C58/3.81+(0.05*2+0.025*2)*C59/2.44+(0.05*2+0.006*2)*C60/2.36,0)</f>
        <v>13</v>
      </c>
      <c r="D61" s="1145" t="s">
        <v>6</v>
      </c>
      <c r="E61" s="893">
        <v>58</v>
      </c>
      <c r="F61" s="872">
        <f t="shared" ref="F61" si="23">E61*C61</f>
        <v>754</v>
      </c>
      <c r="G61" s="893">
        <v>35</v>
      </c>
      <c r="H61" s="873">
        <f t="shared" si="21"/>
        <v>455</v>
      </c>
      <c r="I61" s="873">
        <f t="shared" si="22"/>
        <v>1209</v>
      </c>
      <c r="J61" s="922"/>
    </row>
    <row r="62" spans="1:22" s="7" customFormat="1">
      <c r="A62" s="941"/>
      <c r="B62" s="896" t="s">
        <v>1363</v>
      </c>
      <c r="C62" s="899"/>
      <c r="D62" s="942"/>
      <c r="E62" s="899"/>
      <c r="F62" s="900"/>
      <c r="G62" s="899"/>
      <c r="H62" s="901"/>
      <c r="I62" s="902">
        <f>SUM(I54:I61)</f>
        <v>27065</v>
      </c>
      <c r="J62" s="943"/>
    </row>
    <row r="63" spans="1:22" s="221" customFormat="1">
      <c r="A63" s="934" t="s">
        <v>418</v>
      </c>
      <c r="B63" s="935" t="s">
        <v>389</v>
      </c>
      <c r="C63" s="936"/>
      <c r="D63" s="937"/>
      <c r="E63" s="936"/>
      <c r="F63" s="936"/>
      <c r="G63" s="936"/>
      <c r="H63" s="936"/>
      <c r="I63" s="936"/>
      <c r="J63" s="938"/>
      <c r="O63" s="7"/>
      <c r="P63" s="7"/>
      <c r="Q63" s="7"/>
      <c r="R63" s="7"/>
      <c r="S63" s="7"/>
    </row>
    <row r="64" spans="1:22" s="221" customFormat="1">
      <c r="A64" s="905" t="s">
        <v>1721</v>
      </c>
      <c r="B64" s="868" t="s">
        <v>1231</v>
      </c>
      <c r="C64" s="893">
        <f>ROUNDUP((10+10+5)*17.1,0)</f>
        <v>428</v>
      </c>
      <c r="D64" s="905" t="s">
        <v>85</v>
      </c>
      <c r="E64" s="891">
        <v>38</v>
      </c>
      <c r="F64" s="872">
        <f t="shared" ref="F64:F70" si="24">E64*C64</f>
        <v>16264</v>
      </c>
      <c r="G64" s="939">
        <v>10</v>
      </c>
      <c r="H64" s="873">
        <f t="shared" ref="H64:H70" si="25">G64*C64</f>
        <v>4280</v>
      </c>
      <c r="I64" s="873">
        <f t="shared" ref="I64:I70" si="26">H64+F64</f>
        <v>20544</v>
      </c>
      <c r="J64" s="922"/>
      <c r="O64" s="7"/>
      <c r="P64" s="7"/>
      <c r="Q64" s="7"/>
      <c r="R64" s="7"/>
      <c r="S64" s="7"/>
    </row>
    <row r="65" spans="1:19" s="221" customFormat="1">
      <c r="A65" s="905" t="s">
        <v>1722</v>
      </c>
      <c r="B65" s="868" t="s">
        <v>1232</v>
      </c>
      <c r="C65" s="893">
        <f>ROUNDUP((1.2*16)*34.6,0)</f>
        <v>665</v>
      </c>
      <c r="D65" s="905" t="s">
        <v>85</v>
      </c>
      <c r="E65" s="891">
        <v>38</v>
      </c>
      <c r="F65" s="872">
        <f t="shared" si="24"/>
        <v>25270</v>
      </c>
      <c r="G65" s="939">
        <v>10</v>
      </c>
      <c r="H65" s="873">
        <f t="shared" si="25"/>
        <v>6650</v>
      </c>
      <c r="I65" s="873">
        <f t="shared" si="26"/>
        <v>31920</v>
      </c>
      <c r="J65" s="922"/>
      <c r="O65" s="7"/>
      <c r="P65" s="7"/>
      <c r="Q65" s="7"/>
      <c r="R65" s="7"/>
      <c r="S65" s="7"/>
    </row>
    <row r="66" spans="1:19" s="221" customFormat="1">
      <c r="A66" s="905" t="s">
        <v>1723</v>
      </c>
      <c r="B66" s="868" t="s">
        <v>1230</v>
      </c>
      <c r="C66" s="893">
        <f>ROUNDUP(((1.2*1.35)*2)/2.88,0)</f>
        <v>2</v>
      </c>
      <c r="D66" s="905" t="s">
        <v>1174</v>
      </c>
      <c r="E66" s="891">
        <v>6202.02</v>
      </c>
      <c r="F66" s="872">
        <f t="shared" si="24"/>
        <v>12404.04</v>
      </c>
      <c r="G66" s="939">
        <f>210.24*10</f>
        <v>2102.4</v>
      </c>
      <c r="H66" s="873">
        <f t="shared" si="25"/>
        <v>4204.8</v>
      </c>
      <c r="I66" s="873">
        <f t="shared" si="26"/>
        <v>16608.84</v>
      </c>
      <c r="J66" s="922"/>
      <c r="O66" s="7"/>
      <c r="P66" s="7"/>
      <c r="Q66" s="7"/>
      <c r="R66" s="7"/>
      <c r="S66" s="7"/>
    </row>
    <row r="67" spans="1:19" s="221" customFormat="1">
      <c r="A67" s="905" t="s">
        <v>1724</v>
      </c>
      <c r="B67" s="868" t="s">
        <v>1233</v>
      </c>
      <c r="C67" s="893">
        <f>ROUNDUP((((1.35*3)*2)+((0.15*2)*(16*2)))*7.01,0)</f>
        <v>125</v>
      </c>
      <c r="D67" s="905" t="s">
        <v>85</v>
      </c>
      <c r="E67" s="891">
        <v>38</v>
      </c>
      <c r="F67" s="872">
        <f t="shared" si="24"/>
        <v>4750</v>
      </c>
      <c r="G67" s="939">
        <v>10</v>
      </c>
      <c r="H67" s="873">
        <f t="shared" si="25"/>
        <v>1250</v>
      </c>
      <c r="I67" s="873">
        <f t="shared" si="26"/>
        <v>6000</v>
      </c>
      <c r="J67" s="922"/>
      <c r="O67" s="7"/>
      <c r="P67" s="7"/>
      <c r="Q67" s="7"/>
      <c r="R67" s="7"/>
      <c r="S67" s="7"/>
    </row>
    <row r="68" spans="1:19" s="221" customFormat="1">
      <c r="A68" s="905" t="s">
        <v>1725</v>
      </c>
      <c r="B68" s="921" t="s">
        <v>1234</v>
      </c>
      <c r="C68" s="944">
        <v>8</v>
      </c>
      <c r="D68" s="436" t="s">
        <v>1174</v>
      </c>
      <c r="E68" s="945">
        <v>544</v>
      </c>
      <c r="F68" s="946">
        <f t="shared" si="24"/>
        <v>4352</v>
      </c>
      <c r="G68" s="945">
        <f>6.4*10</f>
        <v>64</v>
      </c>
      <c r="H68" s="947">
        <f t="shared" si="25"/>
        <v>512</v>
      </c>
      <c r="I68" s="947">
        <f t="shared" si="26"/>
        <v>4864</v>
      </c>
      <c r="J68" s="922"/>
      <c r="O68" s="7"/>
      <c r="P68" s="7"/>
      <c r="Q68" s="7"/>
      <c r="R68" s="7"/>
      <c r="S68" s="7"/>
    </row>
    <row r="69" spans="1:19" s="221" customFormat="1">
      <c r="A69" s="905" t="s">
        <v>1726</v>
      </c>
      <c r="B69" s="921" t="s">
        <v>1235</v>
      </c>
      <c r="C69" s="893">
        <f>C68*6</f>
        <v>48</v>
      </c>
      <c r="D69" s="905" t="s">
        <v>37</v>
      </c>
      <c r="E69" s="891">
        <v>175</v>
      </c>
      <c r="F69" s="946">
        <f t="shared" si="24"/>
        <v>8400</v>
      </c>
      <c r="G69" s="939">
        <v>0</v>
      </c>
      <c r="H69" s="947">
        <f t="shared" si="25"/>
        <v>0</v>
      </c>
      <c r="I69" s="947">
        <f t="shared" si="26"/>
        <v>8400</v>
      </c>
      <c r="J69" s="922"/>
      <c r="O69" s="7"/>
      <c r="P69" s="7"/>
      <c r="Q69" s="7"/>
      <c r="R69" s="7"/>
      <c r="S69" s="7"/>
    </row>
    <row r="70" spans="1:19" s="221" customFormat="1">
      <c r="A70" s="905" t="s">
        <v>1727</v>
      </c>
      <c r="B70" s="868" t="s">
        <v>1172</v>
      </c>
      <c r="C70" s="893">
        <f>ROUNDUP(((0.15+0.15+0.075+0.075)*(C64/17.1))+((0.25+0.09+0.25+0.09)*(C65/34.6))+((2.88*C66)*2)+((0.1+0.1+0.05+0.05)*(C67/7.01))+((0.2*0.2)*C68),0)</f>
        <v>42</v>
      </c>
      <c r="D70" s="1145" t="s">
        <v>6</v>
      </c>
      <c r="E70" s="893">
        <v>58</v>
      </c>
      <c r="F70" s="872">
        <f t="shared" si="24"/>
        <v>2436</v>
      </c>
      <c r="G70" s="893">
        <v>35</v>
      </c>
      <c r="H70" s="873">
        <f t="shared" si="25"/>
        <v>1470</v>
      </c>
      <c r="I70" s="873">
        <f t="shared" si="26"/>
        <v>3906</v>
      </c>
      <c r="J70" s="922"/>
      <c r="O70" s="7"/>
      <c r="P70" s="7"/>
      <c r="Q70" s="7"/>
      <c r="R70" s="7"/>
      <c r="S70" s="7"/>
    </row>
    <row r="71" spans="1:19" s="7" customFormat="1">
      <c r="A71" s="905" t="s">
        <v>1728</v>
      </c>
      <c r="B71" s="868" t="s">
        <v>400</v>
      </c>
      <c r="C71" s="1145"/>
      <c r="D71" s="1145"/>
      <c r="E71" s="939"/>
      <c r="F71" s="939"/>
      <c r="G71" s="939"/>
      <c r="H71" s="939"/>
      <c r="I71" s="939"/>
      <c r="J71" s="922"/>
      <c r="S71" s="221"/>
    </row>
    <row r="72" spans="1:19" s="7" customFormat="1">
      <c r="A72" s="436" t="s">
        <v>1729</v>
      </c>
      <c r="B72" s="868" t="s">
        <v>412</v>
      </c>
      <c r="C72" s="1145">
        <f>'ปร1(1)'!M16</f>
        <v>15</v>
      </c>
      <c r="D72" s="1145" t="s">
        <v>6</v>
      </c>
      <c r="E72" s="866">
        <v>350</v>
      </c>
      <c r="F72" s="833">
        <f t="shared" ref="F72" si="27">+E72*C72</f>
        <v>5250</v>
      </c>
      <c r="G72" s="866">
        <v>153</v>
      </c>
      <c r="H72" s="833">
        <f t="shared" ref="H72" si="28">+G72*C72</f>
        <v>2295</v>
      </c>
      <c r="I72" s="867">
        <f t="shared" ref="I72" si="29">+H72+F72</f>
        <v>7545</v>
      </c>
      <c r="J72" s="922"/>
    </row>
    <row r="73" spans="1:19" s="7" customFormat="1">
      <c r="A73" s="436" t="s">
        <v>1730</v>
      </c>
      <c r="B73" s="868" t="s">
        <v>414</v>
      </c>
      <c r="C73" s="1145"/>
      <c r="D73" s="1145"/>
      <c r="E73" s="939"/>
      <c r="F73" s="939"/>
      <c r="G73" s="939"/>
      <c r="H73" s="939"/>
      <c r="I73" s="939"/>
      <c r="J73" s="922"/>
      <c r="R73" s="221"/>
    </row>
    <row r="74" spans="1:19" s="7" customFormat="1">
      <c r="A74" s="436" t="s">
        <v>1731</v>
      </c>
      <c r="B74" s="868" t="s">
        <v>623</v>
      </c>
      <c r="C74" s="893">
        <f>ROUNDUP((4.8/COS(RADIANS(35))+2.6+14)*3.81,0)</f>
        <v>86</v>
      </c>
      <c r="D74" s="905" t="s">
        <v>85</v>
      </c>
      <c r="E74" s="891">
        <v>38</v>
      </c>
      <c r="F74" s="872">
        <f t="shared" ref="F74:F75" si="30">E74*C74</f>
        <v>3268</v>
      </c>
      <c r="G74" s="939">
        <v>10</v>
      </c>
      <c r="H74" s="873">
        <f t="shared" ref="H74:H77" si="31">G74*C74</f>
        <v>860</v>
      </c>
      <c r="I74" s="873">
        <f t="shared" ref="I74:I77" si="32">H74+F74</f>
        <v>4128</v>
      </c>
      <c r="J74" s="922"/>
    </row>
    <row r="75" spans="1:19" s="7" customFormat="1">
      <c r="A75" s="436" t="s">
        <v>1732</v>
      </c>
      <c r="B75" s="868" t="s">
        <v>408</v>
      </c>
      <c r="C75" s="893">
        <f>ROUNDUP((11+2.6/0.87+14/0.87)*0.9*2.44,0)</f>
        <v>67</v>
      </c>
      <c r="D75" s="905" t="s">
        <v>85</v>
      </c>
      <c r="E75" s="891">
        <v>38</v>
      </c>
      <c r="F75" s="872">
        <f t="shared" si="30"/>
        <v>2546</v>
      </c>
      <c r="G75" s="939">
        <v>10</v>
      </c>
      <c r="H75" s="873">
        <f t="shared" si="31"/>
        <v>670</v>
      </c>
      <c r="I75" s="873">
        <f t="shared" si="32"/>
        <v>3216</v>
      </c>
      <c r="J75" s="922"/>
      <c r="O75" s="221"/>
      <c r="P75" s="221"/>
      <c r="Q75" s="221"/>
    </row>
    <row r="76" spans="1:19" s="7" customFormat="1">
      <c r="A76" s="436" t="s">
        <v>1733</v>
      </c>
      <c r="B76" s="868" t="s">
        <v>409</v>
      </c>
      <c r="C76" s="893">
        <f>ROUNDUP((C74/3.81*3)*2.36,0)</f>
        <v>160</v>
      </c>
      <c r="D76" s="905" t="s">
        <v>85</v>
      </c>
      <c r="E76" s="939">
        <v>40</v>
      </c>
      <c r="F76" s="940">
        <f>ROUND(E76*C76,2)</f>
        <v>6400</v>
      </c>
      <c r="G76" s="939">
        <v>10</v>
      </c>
      <c r="H76" s="873">
        <f t="shared" si="31"/>
        <v>1600</v>
      </c>
      <c r="I76" s="873">
        <f t="shared" si="32"/>
        <v>8000</v>
      </c>
      <c r="J76" s="922"/>
    </row>
    <row r="77" spans="1:19" s="7" customFormat="1">
      <c r="A77" s="436" t="s">
        <v>1734</v>
      </c>
      <c r="B77" s="868" t="s">
        <v>1236</v>
      </c>
      <c r="C77" s="893">
        <f>ROUNDUP((0.075*2+0.0375*2)*C74/3.81+(0.05*2+0.025*2)*C75/2.44+(0.05*2+0.006*2)*C76/2.36,0)</f>
        <v>17</v>
      </c>
      <c r="D77" s="1145" t="s">
        <v>6</v>
      </c>
      <c r="E77" s="893">
        <v>58</v>
      </c>
      <c r="F77" s="872">
        <f t="shared" ref="F77" si="33">E77*C77</f>
        <v>986</v>
      </c>
      <c r="G77" s="893">
        <v>35</v>
      </c>
      <c r="H77" s="873">
        <f t="shared" si="31"/>
        <v>595</v>
      </c>
      <c r="I77" s="873">
        <f t="shared" si="32"/>
        <v>1581</v>
      </c>
      <c r="J77" s="922"/>
    </row>
    <row r="78" spans="1:19" s="7" customFormat="1">
      <c r="A78" s="941"/>
      <c r="B78" s="896" t="s">
        <v>1362</v>
      </c>
      <c r="C78" s="899"/>
      <c r="D78" s="942"/>
      <c r="E78" s="899"/>
      <c r="F78" s="900"/>
      <c r="G78" s="899"/>
      <c r="H78" s="901"/>
      <c r="I78" s="902">
        <f>SUM(I64:I77)</f>
        <v>116712.84</v>
      </c>
      <c r="J78" s="943"/>
    </row>
    <row r="79" spans="1:19" s="221" customFormat="1">
      <c r="A79" s="934" t="s">
        <v>419</v>
      </c>
      <c r="B79" s="935" t="s">
        <v>390</v>
      </c>
      <c r="C79" s="936"/>
      <c r="D79" s="937"/>
      <c r="E79" s="936"/>
      <c r="F79" s="936"/>
      <c r="G79" s="936"/>
      <c r="H79" s="936"/>
      <c r="I79" s="936"/>
      <c r="J79" s="938"/>
      <c r="O79" s="7"/>
      <c r="P79" s="7"/>
      <c r="Q79" s="7"/>
      <c r="R79" s="7"/>
      <c r="S79" s="7"/>
    </row>
    <row r="80" spans="1:19" s="7" customFormat="1">
      <c r="A80" s="436" t="s">
        <v>1735</v>
      </c>
      <c r="B80" s="868" t="s">
        <v>400</v>
      </c>
      <c r="C80" s="1145"/>
      <c r="D80" s="1145"/>
      <c r="E80" s="939"/>
      <c r="F80" s="939"/>
      <c r="G80" s="939"/>
      <c r="H80" s="939"/>
      <c r="I80" s="939"/>
      <c r="J80" s="922"/>
      <c r="S80" s="221"/>
    </row>
    <row r="81" spans="1:19" s="7" customFormat="1">
      <c r="A81" s="436" t="s">
        <v>1736</v>
      </c>
      <c r="B81" s="868" t="s">
        <v>1171</v>
      </c>
      <c r="C81" s="1145">
        <f>'ปร1(1)'!F17</f>
        <v>4</v>
      </c>
      <c r="D81" s="1145" t="s">
        <v>6</v>
      </c>
      <c r="E81" s="1433" t="s">
        <v>401</v>
      </c>
      <c r="F81" s="1433"/>
      <c r="G81" s="1433"/>
      <c r="H81" s="1433"/>
      <c r="I81" s="939"/>
      <c r="J81" s="922"/>
    </row>
    <row r="82" spans="1:19" s="7" customFormat="1">
      <c r="A82" s="436" t="s">
        <v>1737</v>
      </c>
      <c r="B82" s="868" t="s">
        <v>621</v>
      </c>
      <c r="C82" s="1145">
        <f>ROUNDUP(1.575*6,0)</f>
        <v>10</v>
      </c>
      <c r="D82" s="1145" t="s">
        <v>8</v>
      </c>
      <c r="E82" s="891">
        <v>200</v>
      </c>
      <c r="F82" s="872">
        <f t="shared" ref="F82" si="34">E82*C82</f>
        <v>2000</v>
      </c>
      <c r="G82" s="939">
        <v>40</v>
      </c>
      <c r="H82" s="873">
        <f t="shared" ref="H82" si="35">G82*C82</f>
        <v>400</v>
      </c>
      <c r="I82" s="873">
        <f t="shared" ref="I82" si="36">H82+F82</f>
        <v>2400</v>
      </c>
      <c r="J82" s="922"/>
      <c r="R82" s="221"/>
    </row>
    <row r="83" spans="1:19" s="7" customFormat="1">
      <c r="A83" s="941"/>
      <c r="B83" s="896" t="s">
        <v>1361</v>
      </c>
      <c r="C83" s="942"/>
      <c r="D83" s="942"/>
      <c r="E83" s="897"/>
      <c r="F83" s="900"/>
      <c r="G83" s="948"/>
      <c r="H83" s="901"/>
      <c r="I83" s="902">
        <f>SUM(I80:I82)</f>
        <v>2400</v>
      </c>
      <c r="J83" s="943"/>
      <c r="R83" s="221"/>
    </row>
    <row r="84" spans="1:19" s="221" customFormat="1">
      <c r="A84" s="934" t="s">
        <v>658</v>
      </c>
      <c r="B84" s="935" t="s">
        <v>661</v>
      </c>
      <c r="C84" s="936"/>
      <c r="D84" s="937"/>
      <c r="E84" s="936"/>
      <c r="F84" s="936"/>
      <c r="G84" s="936"/>
      <c r="H84" s="936"/>
      <c r="I84" s="936"/>
      <c r="J84" s="938"/>
      <c r="O84" s="7"/>
      <c r="P84" s="7"/>
      <c r="Q84" s="7"/>
      <c r="R84" s="7"/>
      <c r="S84" s="7"/>
    </row>
    <row r="85" spans="1:19" s="7" customFormat="1">
      <c r="A85" s="436" t="s">
        <v>1738</v>
      </c>
      <c r="B85" s="868" t="s">
        <v>400</v>
      </c>
      <c r="C85" s="1145"/>
      <c r="D85" s="1145"/>
      <c r="E85" s="939"/>
      <c r="F85" s="939"/>
      <c r="G85" s="939"/>
      <c r="H85" s="939"/>
      <c r="I85" s="939"/>
      <c r="J85" s="922"/>
      <c r="O85" s="221"/>
      <c r="P85" s="221"/>
      <c r="Q85" s="221"/>
      <c r="S85" s="221"/>
    </row>
    <row r="86" spans="1:19" s="7" customFormat="1">
      <c r="A86" s="436" t="s">
        <v>1739</v>
      </c>
      <c r="B86" s="868" t="s">
        <v>1171</v>
      </c>
      <c r="C86" s="1145">
        <f>'ปร1(1)'!F18</f>
        <v>5</v>
      </c>
      <c r="D86" s="1145" t="s">
        <v>6</v>
      </c>
      <c r="E86" s="1433" t="s">
        <v>401</v>
      </c>
      <c r="F86" s="1433"/>
      <c r="G86" s="1433"/>
      <c r="H86" s="1433"/>
      <c r="I86" s="939"/>
      <c r="J86" s="922"/>
    </row>
    <row r="87" spans="1:19" s="7" customFormat="1">
      <c r="A87" s="436" t="s">
        <v>1740</v>
      </c>
      <c r="B87" s="868" t="s">
        <v>621</v>
      </c>
      <c r="C87" s="1145">
        <f>ROUNDUP(1.675*6,0)</f>
        <v>11</v>
      </c>
      <c r="D87" s="1145" t="s">
        <v>8</v>
      </c>
      <c r="E87" s="891">
        <v>200</v>
      </c>
      <c r="F87" s="872">
        <f t="shared" ref="F87" si="37">E87*C87</f>
        <v>2200</v>
      </c>
      <c r="G87" s="939">
        <v>40</v>
      </c>
      <c r="H87" s="873">
        <f t="shared" ref="H87" si="38">G87*C87</f>
        <v>440</v>
      </c>
      <c r="I87" s="873">
        <f t="shared" ref="I87" si="39">H87+F87</f>
        <v>2640</v>
      </c>
      <c r="J87" s="922"/>
      <c r="R87" s="221"/>
    </row>
    <row r="88" spans="1:19" s="7" customFormat="1">
      <c r="A88" s="941"/>
      <c r="B88" s="896" t="s">
        <v>1360</v>
      </c>
      <c r="C88" s="942"/>
      <c r="D88" s="942"/>
      <c r="E88" s="897"/>
      <c r="F88" s="900"/>
      <c r="G88" s="948"/>
      <c r="H88" s="901"/>
      <c r="I88" s="902">
        <f>SUM(I85:I87)</f>
        <v>2640</v>
      </c>
      <c r="J88" s="943"/>
      <c r="R88" s="221"/>
    </row>
    <row r="89" spans="1:19" s="221" customFormat="1">
      <c r="A89" s="934" t="s">
        <v>420</v>
      </c>
      <c r="B89" s="935" t="s">
        <v>410</v>
      </c>
      <c r="C89" s="936"/>
      <c r="D89" s="937"/>
      <c r="E89" s="936"/>
      <c r="F89" s="936"/>
      <c r="G89" s="936"/>
      <c r="H89" s="936"/>
      <c r="I89" s="936"/>
      <c r="J89" s="938"/>
      <c r="O89" s="7"/>
      <c r="P89" s="7"/>
      <c r="Q89" s="7"/>
      <c r="R89" s="7"/>
      <c r="S89" s="7"/>
    </row>
    <row r="90" spans="1:19" s="7" customFormat="1">
      <c r="A90" s="436" t="s">
        <v>1741</v>
      </c>
      <c r="B90" s="868" t="s">
        <v>400</v>
      </c>
      <c r="C90" s="1145"/>
      <c r="D90" s="1145"/>
      <c r="E90" s="939"/>
      <c r="F90" s="939"/>
      <c r="G90" s="939"/>
      <c r="H90" s="939"/>
      <c r="I90" s="939"/>
      <c r="J90" s="922"/>
      <c r="O90" s="221"/>
      <c r="P90" s="221"/>
      <c r="Q90" s="221"/>
      <c r="S90" s="221"/>
    </row>
    <row r="91" spans="1:19" s="7" customFormat="1">
      <c r="A91" s="436" t="s">
        <v>1742</v>
      </c>
      <c r="B91" s="868" t="s">
        <v>1171</v>
      </c>
      <c r="C91" s="1145">
        <f>'ปร1(1)'!F20</f>
        <v>3</v>
      </c>
      <c r="D91" s="1145" t="s">
        <v>6</v>
      </c>
      <c r="E91" s="1433" t="s">
        <v>401</v>
      </c>
      <c r="F91" s="1433"/>
      <c r="G91" s="1433"/>
      <c r="H91" s="1433"/>
      <c r="I91" s="939"/>
      <c r="J91" s="922"/>
    </row>
    <row r="92" spans="1:19" s="7" customFormat="1">
      <c r="A92" s="436" t="s">
        <v>1743</v>
      </c>
      <c r="B92" s="868" t="s">
        <v>621</v>
      </c>
      <c r="C92" s="1145">
        <f>ROUNDUP(2.2*3,0)</f>
        <v>7</v>
      </c>
      <c r="D92" s="1145" t="s">
        <v>8</v>
      </c>
      <c r="E92" s="891">
        <v>200</v>
      </c>
      <c r="F92" s="872">
        <f t="shared" ref="F92" si="40">E92*C92</f>
        <v>1400</v>
      </c>
      <c r="G92" s="939">
        <v>40</v>
      </c>
      <c r="H92" s="873">
        <f t="shared" ref="H92" si="41">G92*C92</f>
        <v>280</v>
      </c>
      <c r="I92" s="873">
        <f t="shared" ref="I92" si="42">H92+F92</f>
        <v>1680</v>
      </c>
      <c r="J92" s="922"/>
      <c r="R92" s="221"/>
    </row>
    <row r="93" spans="1:19" s="7" customFormat="1">
      <c r="A93" s="941"/>
      <c r="B93" s="896" t="s">
        <v>1359</v>
      </c>
      <c r="C93" s="942"/>
      <c r="D93" s="942"/>
      <c r="E93" s="897"/>
      <c r="F93" s="900"/>
      <c r="G93" s="948"/>
      <c r="H93" s="901"/>
      <c r="I93" s="902">
        <f>SUM(I91:I92)</f>
        <v>1680</v>
      </c>
      <c r="J93" s="943"/>
      <c r="R93" s="221"/>
    </row>
    <row r="94" spans="1:19" s="221" customFormat="1">
      <c r="A94" s="934" t="s">
        <v>659</v>
      </c>
      <c r="B94" s="935" t="s">
        <v>413</v>
      </c>
      <c r="C94" s="936"/>
      <c r="D94" s="937"/>
      <c r="E94" s="936"/>
      <c r="F94" s="936"/>
      <c r="G94" s="936"/>
      <c r="H94" s="936"/>
      <c r="I94" s="936"/>
      <c r="J94" s="938"/>
      <c r="O94" s="7"/>
      <c r="P94" s="7"/>
      <c r="Q94" s="7"/>
      <c r="R94" s="7"/>
      <c r="S94" s="7"/>
    </row>
    <row r="95" spans="1:19" s="7" customFormat="1">
      <c r="A95" s="436" t="s">
        <v>1744</v>
      </c>
      <c r="B95" s="868" t="s">
        <v>400</v>
      </c>
      <c r="C95" s="1145"/>
      <c r="D95" s="1145"/>
      <c r="E95" s="939"/>
      <c r="F95" s="939"/>
      <c r="G95" s="939"/>
      <c r="H95" s="939"/>
      <c r="I95" s="939"/>
      <c r="J95" s="922"/>
      <c r="O95" s="221"/>
      <c r="P95" s="221"/>
      <c r="Q95" s="221"/>
      <c r="S95" s="221"/>
    </row>
    <row r="96" spans="1:19" s="7" customFormat="1">
      <c r="A96" s="436" t="s">
        <v>1745</v>
      </c>
      <c r="B96" s="868" t="s">
        <v>1171</v>
      </c>
      <c r="C96" s="1145">
        <f>'ปร1(1)'!F21</f>
        <v>5</v>
      </c>
      <c r="D96" s="1145" t="s">
        <v>6</v>
      </c>
      <c r="E96" s="1433" t="s">
        <v>401</v>
      </c>
      <c r="F96" s="1433"/>
      <c r="G96" s="1433"/>
      <c r="H96" s="1433"/>
      <c r="I96" s="939"/>
      <c r="J96" s="922"/>
    </row>
    <row r="97" spans="1:19" s="7" customFormat="1">
      <c r="A97" s="436" t="s">
        <v>1746</v>
      </c>
      <c r="B97" s="868" t="s">
        <v>621</v>
      </c>
      <c r="C97" s="1145">
        <f>ROUNDUP(1.8*3,0)</f>
        <v>6</v>
      </c>
      <c r="D97" s="1145" t="s">
        <v>8</v>
      </c>
      <c r="E97" s="891">
        <v>200</v>
      </c>
      <c r="F97" s="872">
        <f t="shared" ref="F97" si="43">E97*C97</f>
        <v>1200</v>
      </c>
      <c r="G97" s="939">
        <v>40</v>
      </c>
      <c r="H97" s="873">
        <f t="shared" ref="H97" si="44">G97*C97</f>
        <v>240</v>
      </c>
      <c r="I97" s="873">
        <f t="shared" ref="I97" si="45">H97+F97</f>
        <v>1440</v>
      </c>
      <c r="J97" s="922"/>
      <c r="R97" s="221"/>
    </row>
    <row r="98" spans="1:19" s="7" customFormat="1">
      <c r="A98" s="941"/>
      <c r="B98" s="896" t="s">
        <v>1358</v>
      </c>
      <c r="C98" s="942"/>
      <c r="D98" s="942"/>
      <c r="E98" s="897"/>
      <c r="F98" s="900"/>
      <c r="G98" s="948"/>
      <c r="H98" s="901"/>
      <c r="I98" s="902">
        <f>SUM(I95:I97)</f>
        <v>1440</v>
      </c>
      <c r="J98" s="943"/>
      <c r="R98" s="221"/>
    </row>
    <row r="99" spans="1:19" s="221" customFormat="1">
      <c r="A99" s="934" t="s">
        <v>421</v>
      </c>
      <c r="B99" s="935" t="s">
        <v>622</v>
      </c>
      <c r="C99" s="936"/>
      <c r="D99" s="937"/>
      <c r="E99" s="936"/>
      <c r="F99" s="936"/>
      <c r="G99" s="936"/>
      <c r="H99" s="936"/>
      <c r="I99" s="936"/>
      <c r="J99" s="938"/>
      <c r="O99" s="7"/>
      <c r="P99" s="7"/>
      <c r="Q99" s="7"/>
      <c r="R99" s="7"/>
      <c r="S99" s="7"/>
    </row>
    <row r="100" spans="1:19" s="7" customFormat="1">
      <c r="A100" s="436" t="s">
        <v>1747</v>
      </c>
      <c r="B100" s="868" t="s">
        <v>400</v>
      </c>
      <c r="C100" s="1145"/>
      <c r="D100" s="1145"/>
      <c r="E100" s="939"/>
      <c r="F100" s="939"/>
      <c r="G100" s="939"/>
      <c r="H100" s="939"/>
      <c r="I100" s="939"/>
      <c r="J100" s="922"/>
      <c r="O100" s="221"/>
      <c r="P100" s="221"/>
      <c r="Q100" s="221"/>
      <c r="S100" s="221"/>
    </row>
    <row r="101" spans="1:19" s="7" customFormat="1">
      <c r="A101" s="436" t="s">
        <v>1748</v>
      </c>
      <c r="B101" s="868" t="s">
        <v>1171</v>
      </c>
      <c r="C101" s="1145">
        <f>'ปร1(1)'!F22</f>
        <v>10</v>
      </c>
      <c r="D101" s="1145" t="s">
        <v>6</v>
      </c>
      <c r="E101" s="1433" t="s">
        <v>401</v>
      </c>
      <c r="F101" s="1433"/>
      <c r="G101" s="1433"/>
      <c r="H101" s="1433"/>
      <c r="I101" s="939"/>
      <c r="J101" s="922"/>
    </row>
    <row r="102" spans="1:19" s="7" customFormat="1">
      <c r="A102" s="436" t="s">
        <v>1749</v>
      </c>
      <c r="B102" s="868" t="s">
        <v>621</v>
      </c>
      <c r="C102" s="1145">
        <f>ROUNDUP(3.7*5,0)</f>
        <v>19</v>
      </c>
      <c r="D102" s="1145" t="s">
        <v>8</v>
      </c>
      <c r="E102" s="891">
        <v>200</v>
      </c>
      <c r="F102" s="872">
        <f t="shared" ref="F102" si="46">E102*C102</f>
        <v>3800</v>
      </c>
      <c r="G102" s="939">
        <v>40</v>
      </c>
      <c r="H102" s="873">
        <f t="shared" ref="H102" si="47">G102*C102</f>
        <v>760</v>
      </c>
      <c r="I102" s="873">
        <f t="shared" ref="I102" si="48">H102+F102</f>
        <v>4560</v>
      </c>
      <c r="J102" s="922"/>
      <c r="R102" s="221"/>
    </row>
    <row r="103" spans="1:19" s="7" customFormat="1">
      <c r="A103" s="941"/>
      <c r="B103" s="896" t="s">
        <v>1357</v>
      </c>
      <c r="C103" s="942"/>
      <c r="D103" s="942"/>
      <c r="E103" s="897"/>
      <c r="F103" s="900"/>
      <c r="G103" s="948"/>
      <c r="H103" s="901"/>
      <c r="I103" s="902">
        <f>SUM(I100:I102)</f>
        <v>4560</v>
      </c>
      <c r="J103" s="943"/>
      <c r="R103" s="221"/>
    </row>
    <row r="104" spans="1:19" s="221" customFormat="1">
      <c r="A104" s="934" t="s">
        <v>422</v>
      </c>
      <c r="B104" s="949" t="s">
        <v>415</v>
      </c>
      <c r="C104" s="936"/>
      <c r="D104" s="937"/>
      <c r="E104" s="936"/>
      <c r="F104" s="936"/>
      <c r="G104" s="936"/>
      <c r="H104" s="936"/>
      <c r="I104" s="936"/>
      <c r="J104" s="938"/>
      <c r="O104" s="7"/>
      <c r="P104" s="7"/>
      <c r="Q104" s="7"/>
      <c r="R104" s="7"/>
      <c r="S104" s="7"/>
    </row>
    <row r="105" spans="1:19" s="7" customFormat="1">
      <c r="A105" s="436" t="s">
        <v>1750</v>
      </c>
      <c r="B105" s="868" t="s">
        <v>624</v>
      </c>
      <c r="C105" s="893">
        <f>ROUNDUP((1.7+1.7+4.2)*3.81,0)</f>
        <v>29</v>
      </c>
      <c r="D105" s="905" t="s">
        <v>85</v>
      </c>
      <c r="E105" s="891">
        <v>38</v>
      </c>
      <c r="F105" s="872">
        <f t="shared" ref="F105:F106" si="49">E105*C105</f>
        <v>1102</v>
      </c>
      <c r="G105" s="939">
        <v>10</v>
      </c>
      <c r="H105" s="873">
        <f t="shared" ref="H105:H108" si="50">G105*C105</f>
        <v>290</v>
      </c>
      <c r="I105" s="873">
        <f t="shared" ref="I105:I108" si="51">H105+F105</f>
        <v>1392</v>
      </c>
      <c r="J105" s="922"/>
      <c r="O105" s="221"/>
      <c r="P105" s="221"/>
      <c r="Q105" s="221"/>
      <c r="S105" s="221"/>
    </row>
    <row r="106" spans="1:19" s="7" customFormat="1">
      <c r="A106" s="436" t="s">
        <v>1751</v>
      </c>
      <c r="B106" s="868" t="s">
        <v>416</v>
      </c>
      <c r="C106" s="893">
        <f>ROUNDUP((C105/3.81/0.87+1)*1*2.44,0)</f>
        <v>24</v>
      </c>
      <c r="D106" s="905" t="s">
        <v>85</v>
      </c>
      <c r="E106" s="891">
        <v>38</v>
      </c>
      <c r="F106" s="872">
        <f t="shared" si="49"/>
        <v>912</v>
      </c>
      <c r="G106" s="939">
        <v>10</v>
      </c>
      <c r="H106" s="873">
        <f t="shared" si="50"/>
        <v>240</v>
      </c>
      <c r="I106" s="873">
        <f t="shared" si="51"/>
        <v>1152</v>
      </c>
      <c r="J106" s="922"/>
    </row>
    <row r="107" spans="1:19" s="7" customFormat="1">
      <c r="A107" s="436" t="s">
        <v>1752</v>
      </c>
      <c r="B107" s="868" t="s">
        <v>417</v>
      </c>
      <c r="C107" s="893">
        <f>ROUNDUP((C105/3.81*3)*2.36,0)</f>
        <v>54</v>
      </c>
      <c r="D107" s="905" t="s">
        <v>85</v>
      </c>
      <c r="E107" s="939">
        <v>40</v>
      </c>
      <c r="F107" s="940">
        <f>ROUND(E107*C107,2)</f>
        <v>2160</v>
      </c>
      <c r="G107" s="939">
        <v>10</v>
      </c>
      <c r="H107" s="873">
        <f t="shared" si="50"/>
        <v>540</v>
      </c>
      <c r="I107" s="873">
        <f t="shared" si="51"/>
        <v>2700</v>
      </c>
      <c r="J107" s="922"/>
      <c r="R107" s="221"/>
    </row>
    <row r="108" spans="1:19" s="7" customFormat="1">
      <c r="A108" s="436" t="s">
        <v>1753</v>
      </c>
      <c r="B108" s="868" t="s">
        <v>1172</v>
      </c>
      <c r="C108" s="893">
        <f>ROUNDUP((0.075*2+0.0375*2)*C105/3.81+(0.05*2+0.025*2)*C106/2.44+(0.05*2+0.006*2)*C107/2.36,0)</f>
        <v>6</v>
      </c>
      <c r="D108" s="1145" t="s">
        <v>6</v>
      </c>
      <c r="E108" s="893">
        <v>58</v>
      </c>
      <c r="F108" s="872">
        <f t="shared" ref="F108" si="52">E108*C108</f>
        <v>348</v>
      </c>
      <c r="G108" s="893">
        <v>35</v>
      </c>
      <c r="H108" s="873">
        <f t="shared" si="50"/>
        <v>210</v>
      </c>
      <c r="I108" s="873">
        <f t="shared" si="51"/>
        <v>558</v>
      </c>
      <c r="J108" s="922"/>
    </row>
    <row r="109" spans="1:19" s="7" customFormat="1">
      <c r="A109" s="941"/>
      <c r="B109" s="896" t="s">
        <v>1356</v>
      </c>
      <c r="C109" s="899"/>
      <c r="D109" s="942"/>
      <c r="E109" s="899"/>
      <c r="F109" s="900"/>
      <c r="G109" s="899"/>
      <c r="H109" s="901"/>
      <c r="I109" s="902">
        <f>SUM(I105:I108)</f>
        <v>5802</v>
      </c>
      <c r="J109" s="943"/>
    </row>
    <row r="110" spans="1:19" s="221" customFormat="1">
      <c r="A110" s="934" t="s">
        <v>660</v>
      </c>
      <c r="B110" s="949" t="s">
        <v>657</v>
      </c>
      <c r="C110" s="936"/>
      <c r="D110" s="937"/>
      <c r="E110" s="936"/>
      <c r="F110" s="936"/>
      <c r="G110" s="936"/>
      <c r="H110" s="936"/>
      <c r="I110" s="936"/>
      <c r="J110" s="938"/>
      <c r="R110" s="7"/>
      <c r="S110" s="7"/>
    </row>
    <row r="111" spans="1:19" s="7" customFormat="1">
      <c r="A111" s="436" t="s">
        <v>1754</v>
      </c>
      <c r="B111" s="868" t="s">
        <v>624</v>
      </c>
      <c r="C111" s="893">
        <f>ROUNDUP((9.85+3.7+3.2+3.7+3.7+1.85)*3.81,0)</f>
        <v>100</v>
      </c>
      <c r="D111" s="905" t="s">
        <v>85</v>
      </c>
      <c r="E111" s="891">
        <v>38</v>
      </c>
      <c r="F111" s="872">
        <f t="shared" ref="F111:F112" si="53">E111*C111</f>
        <v>3800</v>
      </c>
      <c r="G111" s="939">
        <v>10</v>
      </c>
      <c r="H111" s="873">
        <f t="shared" ref="H111:H114" si="54">G111*C111</f>
        <v>1000</v>
      </c>
      <c r="I111" s="873">
        <f t="shared" ref="I111:I114" si="55">H111+F111</f>
        <v>4800</v>
      </c>
      <c r="J111" s="922"/>
      <c r="S111" s="221"/>
    </row>
    <row r="112" spans="1:19" s="7" customFormat="1">
      <c r="A112" s="436" t="s">
        <v>1755</v>
      </c>
      <c r="B112" s="868" t="s">
        <v>416</v>
      </c>
      <c r="C112" s="893">
        <f>ROUNDUP(((9.85/0.87+1)+(3.7/0.87+1)*3+(3.2/0.87+1)+(1.85/0.87+1))*1*2.44,0)</f>
        <v>88</v>
      </c>
      <c r="D112" s="905" t="s">
        <v>85</v>
      </c>
      <c r="E112" s="891">
        <v>38</v>
      </c>
      <c r="F112" s="872">
        <f t="shared" si="53"/>
        <v>3344</v>
      </c>
      <c r="G112" s="939">
        <v>10</v>
      </c>
      <c r="H112" s="873">
        <f t="shared" si="54"/>
        <v>880</v>
      </c>
      <c r="I112" s="873">
        <f t="shared" si="55"/>
        <v>4224</v>
      </c>
      <c r="J112" s="922"/>
    </row>
    <row r="113" spans="1:22" s="7" customFormat="1">
      <c r="A113" s="436" t="s">
        <v>1756</v>
      </c>
      <c r="B113" s="868" t="s">
        <v>417</v>
      </c>
      <c r="C113" s="893">
        <f>ROUNDUP((C111/3.81*3)*2.36,0)</f>
        <v>186</v>
      </c>
      <c r="D113" s="905" t="s">
        <v>85</v>
      </c>
      <c r="E113" s="939">
        <v>40</v>
      </c>
      <c r="F113" s="940">
        <f>ROUND(E113*C113,2)</f>
        <v>7440</v>
      </c>
      <c r="G113" s="939">
        <v>10</v>
      </c>
      <c r="H113" s="873">
        <f t="shared" si="54"/>
        <v>1860</v>
      </c>
      <c r="I113" s="873">
        <f t="shared" si="55"/>
        <v>9300</v>
      </c>
      <c r="J113" s="922"/>
      <c r="R113" s="221"/>
    </row>
    <row r="114" spans="1:22" s="7" customFormat="1">
      <c r="A114" s="436" t="s">
        <v>1757</v>
      </c>
      <c r="B114" s="868" t="s">
        <v>1172</v>
      </c>
      <c r="C114" s="893">
        <f>ROUNDUP((0.075*2+0.0375*2)*C111/3.81+(0.05*2+0.025*2)*C112/2.44+(0.05*2+0.006*2)*C113/2.36,0)</f>
        <v>21</v>
      </c>
      <c r="D114" s="1145" t="s">
        <v>6</v>
      </c>
      <c r="E114" s="893">
        <v>58</v>
      </c>
      <c r="F114" s="872">
        <f t="shared" ref="F114" si="56">E114*C114</f>
        <v>1218</v>
      </c>
      <c r="G114" s="893">
        <v>35</v>
      </c>
      <c r="H114" s="873">
        <f t="shared" si="54"/>
        <v>735</v>
      </c>
      <c r="I114" s="873">
        <f t="shared" si="55"/>
        <v>1953</v>
      </c>
      <c r="J114" s="922"/>
    </row>
    <row r="115" spans="1:22" s="7" customFormat="1">
      <c r="A115" s="941"/>
      <c r="B115" s="896" t="s">
        <v>1355</v>
      </c>
      <c r="C115" s="899"/>
      <c r="D115" s="942"/>
      <c r="E115" s="899"/>
      <c r="F115" s="900"/>
      <c r="G115" s="899"/>
      <c r="H115" s="901"/>
      <c r="I115" s="902">
        <f>SUM(I111:I114)</f>
        <v>20277</v>
      </c>
      <c r="J115" s="943"/>
    </row>
    <row r="116" spans="1:22" s="7" customFormat="1">
      <c r="A116" s="641"/>
      <c r="B116" s="914" t="s">
        <v>1291</v>
      </c>
      <c r="C116" s="950"/>
      <c r="D116" s="951"/>
      <c r="E116" s="950"/>
      <c r="F116" s="915"/>
      <c r="G116" s="950"/>
      <c r="H116" s="952"/>
      <c r="I116" s="953">
        <f>I62+I78+I83+I88+I93+I98+I103+I109+I115</f>
        <v>182576.84</v>
      </c>
      <c r="J116" s="929"/>
    </row>
    <row r="117" spans="1:22" s="431" customFormat="1">
      <c r="A117" s="954" t="s">
        <v>122</v>
      </c>
      <c r="B117" s="955" t="s">
        <v>89</v>
      </c>
      <c r="C117" s="956"/>
      <c r="D117" s="957"/>
      <c r="E117" s="958"/>
      <c r="F117" s="958"/>
      <c r="G117" s="958"/>
      <c r="H117" s="958"/>
      <c r="I117" s="959"/>
      <c r="J117" s="960"/>
      <c r="L117" s="432"/>
      <c r="M117" s="432"/>
      <c r="N117" s="432"/>
      <c r="O117" s="221"/>
      <c r="P117" s="221"/>
      <c r="Q117" s="221"/>
      <c r="R117" s="7"/>
      <c r="S117" s="7"/>
      <c r="T117" s="432"/>
      <c r="U117" s="432"/>
      <c r="V117" s="432"/>
    </row>
    <row r="118" spans="1:22" s="431" customFormat="1">
      <c r="A118" s="961" t="s">
        <v>1374</v>
      </c>
      <c r="B118" s="962" t="s">
        <v>36</v>
      </c>
      <c r="C118" s="963"/>
      <c r="D118" s="964"/>
      <c r="E118" s="965"/>
      <c r="F118" s="965"/>
      <c r="G118" s="965"/>
      <c r="H118" s="965"/>
      <c r="I118" s="966"/>
      <c r="J118" s="961"/>
      <c r="L118" s="432"/>
      <c r="M118" s="432"/>
      <c r="N118" s="432"/>
      <c r="O118" s="7"/>
      <c r="P118" s="7"/>
      <c r="Q118" s="7"/>
      <c r="R118" s="7"/>
      <c r="S118" s="432"/>
      <c r="T118" s="432"/>
      <c r="U118" s="432"/>
      <c r="V118" s="432"/>
    </row>
    <row r="119" spans="1:22" s="431" customFormat="1" ht="48">
      <c r="A119" s="967" t="s">
        <v>1758</v>
      </c>
      <c r="B119" s="968" t="str">
        <f>ประตู!A27</f>
        <v xml:space="preserve"> - D1 วงกบบานประตูอลูมิเนียม บานเลื่อนคู่ พร้อมช่องแสงติดตาย ลูกฟักกระจกลามิเนตใสตัดแสง หนา 3+3 มม. ขนาด 3.70x2.50 ม.</v>
      </c>
      <c r="C119" s="1144">
        <f>ประตู!F27</f>
        <v>1</v>
      </c>
      <c r="D119" s="969" t="s">
        <v>37</v>
      </c>
      <c r="E119" s="970">
        <f>ประตู!J27</f>
        <v>44296</v>
      </c>
      <c r="F119" s="725">
        <f t="shared" ref="F119:F136" si="57">+E119*C119</f>
        <v>44296</v>
      </c>
      <c r="G119" s="971">
        <f>ประตู!K27</f>
        <v>0</v>
      </c>
      <c r="H119" s="725">
        <f>+G119*C119</f>
        <v>0</v>
      </c>
      <c r="I119" s="972">
        <f>+H119+F119</f>
        <v>44296</v>
      </c>
      <c r="J119" s="967"/>
      <c r="L119" s="432"/>
      <c r="M119" s="432"/>
      <c r="N119" s="432"/>
      <c r="O119" s="7"/>
      <c r="P119" s="7"/>
      <c r="Q119" s="7"/>
      <c r="R119" s="7"/>
      <c r="S119" s="432"/>
      <c r="T119" s="432"/>
      <c r="U119" s="432"/>
      <c r="V119" s="432"/>
    </row>
    <row r="120" spans="1:22" s="431" customFormat="1" ht="48">
      <c r="A120" s="967" t="s">
        <v>1759</v>
      </c>
      <c r="B120" s="968" t="str">
        <f>ประตู!A28</f>
        <v xml:space="preserve"> - D2 วงกบบานประตูอลูมิเนียม บานเปิดคู่ พร้อมช่องแสงติดตาย ลูกฟักกระจกลามิเนตใสตัดแสง หนา 3+3 มม. ขนาด 4.375x2.50 ม.</v>
      </c>
      <c r="C120" s="1144">
        <f>ประตู!F28</f>
        <v>2</v>
      </c>
      <c r="D120" s="969" t="s">
        <v>37</v>
      </c>
      <c r="E120" s="970">
        <f>ประตู!J28</f>
        <v>53767</v>
      </c>
      <c r="F120" s="725">
        <f t="shared" si="57"/>
        <v>107534</v>
      </c>
      <c r="G120" s="971">
        <f>ประตู!K28</f>
        <v>0</v>
      </c>
      <c r="H120" s="725">
        <f t="shared" ref="H120:H136" si="58">+G120*C120</f>
        <v>0</v>
      </c>
      <c r="I120" s="972">
        <f t="shared" ref="I120:I136" si="59">+H120+F120</f>
        <v>107534</v>
      </c>
      <c r="J120" s="967"/>
      <c r="L120" s="432"/>
      <c r="M120" s="432"/>
      <c r="N120" s="432"/>
      <c r="O120" s="7"/>
      <c r="P120" s="7"/>
      <c r="Q120" s="7"/>
      <c r="R120" s="432"/>
      <c r="S120" s="432"/>
      <c r="T120" s="432"/>
      <c r="U120" s="432"/>
      <c r="V120" s="432"/>
    </row>
    <row r="121" spans="1:22" s="431" customFormat="1" ht="48">
      <c r="A121" s="967" t="s">
        <v>1760</v>
      </c>
      <c r="B121" s="968" t="str">
        <f>ประตู!A29</f>
        <v xml:space="preserve"> - D3 ประตูวงกบไม้เนื้อแข็ง กรุไม้อัดยางกันชื้น บานเปิดเดี่ยว พร้อมเกล็ดระบายอากาศ ลูกฟักกระจกฝ้า หนา 6 มม.  ขนาด 0.90x2.50 ม.</v>
      </c>
      <c r="C121" s="1144">
        <f>ประตู!F29</f>
        <v>4</v>
      </c>
      <c r="D121" s="969" t="s">
        <v>37</v>
      </c>
      <c r="E121" s="970">
        <f>ประตู!J29</f>
        <v>6700</v>
      </c>
      <c r="F121" s="725">
        <f t="shared" si="57"/>
        <v>26800</v>
      </c>
      <c r="G121" s="971">
        <f>ประตู!K29</f>
        <v>1500</v>
      </c>
      <c r="H121" s="725">
        <f t="shared" si="58"/>
        <v>6000</v>
      </c>
      <c r="I121" s="972">
        <f t="shared" si="59"/>
        <v>32800</v>
      </c>
      <c r="J121" s="967"/>
      <c r="L121" s="432"/>
      <c r="M121" s="432"/>
      <c r="N121" s="432"/>
      <c r="O121" s="7"/>
      <c r="P121" s="7"/>
      <c r="Q121" s="7"/>
      <c r="R121" s="432"/>
      <c r="S121" s="432"/>
      <c r="T121" s="432"/>
      <c r="U121" s="432"/>
      <c r="V121" s="432"/>
    </row>
    <row r="122" spans="1:22" s="431" customFormat="1" ht="48">
      <c r="A122" s="967" t="s">
        <v>1761</v>
      </c>
      <c r="B122" s="968" t="str">
        <f>ประตู!A30</f>
        <v xml:space="preserve"> - D4 ประตูวงกบไม้เนื้อแข็ง กรุไม้อัดยางกันชื้น บานเปิดเดี่ยว พร้อมช่องแสงติดตาย ลูกฟักกระจกลามิเนตใส หนา 3+3 มม. ขนาด 1.10x2.50 ม.</v>
      </c>
      <c r="C122" s="1144">
        <f>ประตู!F30</f>
        <v>8</v>
      </c>
      <c r="D122" s="969" t="s">
        <v>37</v>
      </c>
      <c r="E122" s="970">
        <f>ประตู!J30</f>
        <v>5600</v>
      </c>
      <c r="F122" s="725">
        <f t="shared" si="57"/>
        <v>44800</v>
      </c>
      <c r="G122" s="971">
        <f>ประตู!K30</f>
        <v>1500</v>
      </c>
      <c r="H122" s="725">
        <f t="shared" si="58"/>
        <v>12000</v>
      </c>
      <c r="I122" s="972">
        <f t="shared" si="59"/>
        <v>56800</v>
      </c>
      <c r="J122" s="967"/>
      <c r="L122" s="432"/>
      <c r="M122" s="432"/>
      <c r="N122" s="432"/>
      <c r="O122" s="432"/>
      <c r="P122" s="432"/>
      <c r="Q122" s="432"/>
      <c r="R122" s="432"/>
      <c r="S122" s="432"/>
      <c r="T122" s="432"/>
      <c r="U122" s="432"/>
      <c r="V122" s="432"/>
    </row>
    <row r="123" spans="1:22" s="431" customFormat="1">
      <c r="A123" s="967" t="s">
        <v>1762</v>
      </c>
      <c r="B123" s="968" t="str">
        <f>ประตู!A31</f>
        <v xml:space="preserve"> - D5 วงกบบานประตูไม้เนื้อแข็ง กรุไม้อัดยางกันชื้น บานเปิดคู่ ขนาด 1.90x2.05 ม.</v>
      </c>
      <c r="C123" s="1144">
        <f>ประตู!F31</f>
        <v>2</v>
      </c>
      <c r="D123" s="969" t="s">
        <v>37</v>
      </c>
      <c r="E123" s="970">
        <f>ประตู!J31</f>
        <v>7300</v>
      </c>
      <c r="F123" s="725">
        <f t="shared" si="57"/>
        <v>14600</v>
      </c>
      <c r="G123" s="971">
        <f>ประตู!K31</f>
        <v>2000</v>
      </c>
      <c r="H123" s="725">
        <f t="shared" si="58"/>
        <v>4000</v>
      </c>
      <c r="I123" s="972">
        <f t="shared" si="59"/>
        <v>18600</v>
      </c>
      <c r="J123" s="967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</row>
    <row r="124" spans="1:22" s="431" customFormat="1" ht="48">
      <c r="A124" s="967" t="s">
        <v>1763</v>
      </c>
      <c r="B124" s="968" t="str">
        <f>ประตู!A32</f>
        <v xml:space="preserve"> - D6 วงกบบานประตูอลูมิเนียม บานเปิดเดี่ยวและบานเลื่อนสลับ พร้อมช่องแสงติดตาย ลูกฟักกระจกลามิเนตใสตัดแสง หนา 3+3 มม. ขนาด 1.90x2.50 ม.</v>
      </c>
      <c r="C124" s="1144">
        <f>ประตู!F32</f>
        <v>4</v>
      </c>
      <c r="D124" s="969" t="s">
        <v>37</v>
      </c>
      <c r="E124" s="970">
        <f>ประตู!J32</f>
        <v>38547</v>
      </c>
      <c r="F124" s="725">
        <f t="shared" si="57"/>
        <v>154188</v>
      </c>
      <c r="G124" s="971">
        <f>ประตู!K32</f>
        <v>0</v>
      </c>
      <c r="H124" s="725">
        <f t="shared" si="58"/>
        <v>0</v>
      </c>
      <c r="I124" s="972">
        <f t="shared" si="59"/>
        <v>154188</v>
      </c>
      <c r="J124" s="967"/>
      <c r="L124" s="432"/>
      <c r="M124" s="432"/>
      <c r="N124" s="432"/>
      <c r="O124" s="432"/>
      <c r="P124" s="432"/>
      <c r="Q124" s="432"/>
      <c r="R124" s="432"/>
      <c r="S124" s="432"/>
      <c r="T124" s="432"/>
      <c r="U124" s="432"/>
      <c r="V124" s="432"/>
    </row>
    <row r="125" spans="1:22" s="431" customFormat="1" ht="48">
      <c r="A125" s="967" t="s">
        <v>1764</v>
      </c>
      <c r="B125" s="968" t="str">
        <f>ประตู!A33</f>
        <v xml:space="preserve"> - D7 ประตูวงกบไม้เนื้อแข็ง กรุไม้อัดยางกันชื้น บานเปิดคู่ พร้อมช่องแสงติดตาย ลูกฟักกระจกลามิเนตใสตัดแสง หนา 3+3 มม. ขนาด 1.90x2.50 ม.</v>
      </c>
      <c r="C125" s="1144">
        <f>ประตู!F33</f>
        <v>3</v>
      </c>
      <c r="D125" s="969" t="s">
        <v>37</v>
      </c>
      <c r="E125" s="970">
        <f>ประตู!J33</f>
        <v>9800</v>
      </c>
      <c r="F125" s="725">
        <f t="shared" si="57"/>
        <v>29400</v>
      </c>
      <c r="G125" s="971">
        <f>ประตู!K33</f>
        <v>2600</v>
      </c>
      <c r="H125" s="725">
        <f t="shared" si="58"/>
        <v>7800</v>
      </c>
      <c r="I125" s="972">
        <f t="shared" si="59"/>
        <v>37200</v>
      </c>
      <c r="J125" s="967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</row>
    <row r="126" spans="1:22" s="431" customFormat="1">
      <c r="A126" s="967" t="s">
        <v>1765</v>
      </c>
      <c r="B126" s="968" t="str">
        <f>ประตู!A34</f>
        <v xml:space="preserve"> - D8 วงกบบานประตูไม้เนื้อแข็ง กรุไม้อัดยางกันชื้น บานเปิดเดี่ยว ขนาด 1.00x2.05 ม.</v>
      </c>
      <c r="C126" s="1144">
        <f>ประตู!F34</f>
        <v>2</v>
      </c>
      <c r="D126" s="969" t="s">
        <v>37</v>
      </c>
      <c r="E126" s="970">
        <f>ประตู!J34</f>
        <v>4000</v>
      </c>
      <c r="F126" s="725">
        <f t="shared" si="57"/>
        <v>8000</v>
      </c>
      <c r="G126" s="971">
        <f>ประตู!K34</f>
        <v>1100</v>
      </c>
      <c r="H126" s="725">
        <f t="shared" si="58"/>
        <v>2200</v>
      </c>
      <c r="I126" s="972">
        <f t="shared" si="59"/>
        <v>10200</v>
      </c>
      <c r="J126" s="967"/>
      <c r="L126" s="432"/>
      <c r="M126" s="432"/>
      <c r="N126" s="432"/>
      <c r="O126" s="432"/>
      <c r="P126" s="432"/>
      <c r="Q126" s="432"/>
      <c r="R126" s="432"/>
      <c r="S126" s="432"/>
      <c r="T126" s="432"/>
      <c r="U126" s="432"/>
      <c r="V126" s="432"/>
    </row>
    <row r="127" spans="1:22" s="431" customFormat="1" ht="48">
      <c r="A127" s="967" t="s">
        <v>1766</v>
      </c>
      <c r="B127" s="968" t="str">
        <f>ประตู!A35</f>
        <v xml:space="preserve"> - D9 วงกบบานประตูไม้เนื้อแข็ง กรุไม้อัดยางกันชื้น บานเปิดเดี่ยว ลูกฟักกระจกลามิเนตใส หนา 3+3 มม. ขนาด 0.90x2.05 ม.</v>
      </c>
      <c r="C127" s="1144">
        <f>ประตู!F35</f>
        <v>2</v>
      </c>
      <c r="D127" s="969" t="s">
        <v>37</v>
      </c>
      <c r="E127" s="970">
        <f>ประตู!J35</f>
        <v>3600</v>
      </c>
      <c r="F127" s="725">
        <f t="shared" si="57"/>
        <v>7200</v>
      </c>
      <c r="G127" s="971">
        <f>ประตู!K35</f>
        <v>1100</v>
      </c>
      <c r="H127" s="725">
        <f t="shared" si="58"/>
        <v>2200</v>
      </c>
      <c r="I127" s="972">
        <f t="shared" si="59"/>
        <v>9400</v>
      </c>
      <c r="J127" s="967"/>
      <c r="L127" s="432"/>
      <c r="M127" s="432"/>
      <c r="N127" s="432"/>
      <c r="O127" s="432"/>
      <c r="P127" s="432"/>
      <c r="Q127" s="432"/>
      <c r="R127" s="432"/>
      <c r="S127" s="432"/>
      <c r="T127" s="432"/>
      <c r="U127" s="432"/>
      <c r="V127" s="432"/>
    </row>
    <row r="128" spans="1:22" s="431" customFormat="1">
      <c r="A128" s="967" t="s">
        <v>1767</v>
      </c>
      <c r="B128" s="968" t="str">
        <f>ประตู!A36</f>
        <v xml:space="preserve"> - D10 วงกบบานประตูไม้เนื้อแข็ง กรุไม้อัดยางกันชื้น บานเปิดคู่ ขนาด 1.90x2.05 ม.</v>
      </c>
      <c r="C128" s="1144">
        <f>ประตู!F36</f>
        <v>1</v>
      </c>
      <c r="D128" s="969" t="s">
        <v>37</v>
      </c>
      <c r="E128" s="970">
        <f>ประตู!J36</f>
        <v>7300</v>
      </c>
      <c r="F128" s="725">
        <f t="shared" si="57"/>
        <v>7300</v>
      </c>
      <c r="G128" s="971">
        <f>ประตู!K36</f>
        <v>2000</v>
      </c>
      <c r="H128" s="725">
        <f t="shared" si="58"/>
        <v>2000</v>
      </c>
      <c r="I128" s="972">
        <f t="shared" si="59"/>
        <v>9300</v>
      </c>
      <c r="J128" s="967"/>
      <c r="L128" s="432"/>
      <c r="M128" s="432"/>
      <c r="N128" s="432"/>
      <c r="O128" s="432"/>
      <c r="P128" s="432"/>
      <c r="Q128" s="432"/>
      <c r="R128" s="432"/>
      <c r="S128" s="432"/>
      <c r="T128" s="432"/>
      <c r="U128" s="432"/>
      <c r="V128" s="432"/>
    </row>
    <row r="129" spans="1:22" s="431" customFormat="1">
      <c r="A129" s="967" t="s">
        <v>1768</v>
      </c>
      <c r="B129" s="968" t="str">
        <f>ประตู!A37</f>
        <v xml:space="preserve"> - D11 วงกบบานประตูไม้เนื้อแข็ง กรุไม้อัดยางกันชื้น บานเปิดเดี่ยว ขนาด 1.10x2.05 ม.</v>
      </c>
      <c r="C129" s="1144">
        <f>ประตู!F37</f>
        <v>1</v>
      </c>
      <c r="D129" s="969" t="s">
        <v>37</v>
      </c>
      <c r="E129" s="970">
        <f>ประตู!J37</f>
        <v>4400</v>
      </c>
      <c r="F129" s="725">
        <f t="shared" si="57"/>
        <v>4400</v>
      </c>
      <c r="G129" s="971">
        <f>ประตู!K37</f>
        <v>1200</v>
      </c>
      <c r="H129" s="725">
        <f t="shared" si="58"/>
        <v>1200</v>
      </c>
      <c r="I129" s="972">
        <f t="shared" si="59"/>
        <v>5600</v>
      </c>
      <c r="J129" s="967"/>
      <c r="L129" s="432"/>
      <c r="M129" s="432"/>
      <c r="N129" s="432"/>
      <c r="O129" s="432"/>
      <c r="P129" s="432"/>
      <c r="Q129" s="432"/>
      <c r="R129" s="432"/>
      <c r="S129" s="432"/>
      <c r="T129" s="432"/>
      <c r="U129" s="432"/>
      <c r="V129" s="432"/>
    </row>
    <row r="130" spans="1:22" s="431" customFormat="1" ht="48">
      <c r="A130" s="967" t="s">
        <v>1769</v>
      </c>
      <c r="B130" s="968" t="str">
        <f>ประตู!A38</f>
        <v xml:space="preserve"> - D12 วงกบบานประตูไม้เนื้อแข็ง ติดตั้งฉนวนกันเสียง กรุไม้อัดยางกันชื้น บานเปิดคู่ ขนาด 1.50x2.50 ม.</v>
      </c>
      <c r="C130" s="1144">
        <f>ประตู!F38</f>
        <v>2</v>
      </c>
      <c r="D130" s="969" t="s">
        <v>37</v>
      </c>
      <c r="E130" s="970">
        <f>ประตู!J38</f>
        <v>8800</v>
      </c>
      <c r="F130" s="725">
        <f t="shared" si="57"/>
        <v>17600</v>
      </c>
      <c r="G130" s="971">
        <f>ประตู!K38</f>
        <v>2000</v>
      </c>
      <c r="H130" s="725">
        <f t="shared" si="58"/>
        <v>4000</v>
      </c>
      <c r="I130" s="972">
        <f t="shared" si="59"/>
        <v>21600</v>
      </c>
      <c r="J130" s="967"/>
      <c r="L130" s="432"/>
      <c r="M130" s="432"/>
      <c r="N130" s="432"/>
      <c r="O130" s="432"/>
      <c r="P130" s="432"/>
      <c r="Q130" s="432"/>
      <c r="R130" s="432"/>
      <c r="S130" s="432"/>
      <c r="T130" s="432"/>
      <c r="U130" s="432"/>
      <c r="V130" s="432"/>
    </row>
    <row r="131" spans="1:22" s="431" customFormat="1">
      <c r="A131" s="967" t="s">
        <v>1770</v>
      </c>
      <c r="B131" s="973" t="str">
        <f>ประตู!A39</f>
        <v xml:space="preserve"> - ฉนวนกันเสียงใยหิน (ROCK WOOL) ขนาด 0.60 x 1.20 มม. หนา 50 มม.</v>
      </c>
      <c r="C131" s="1144">
        <f>ประตู!F39</f>
        <v>11</v>
      </c>
      <c r="D131" s="969" t="s">
        <v>1174</v>
      </c>
      <c r="E131" s="970">
        <f>ประตู!J39</f>
        <v>352.07</v>
      </c>
      <c r="F131" s="725">
        <f t="shared" si="57"/>
        <v>3872.77</v>
      </c>
      <c r="G131" s="971">
        <f>ประตู!K39</f>
        <v>0</v>
      </c>
      <c r="H131" s="725">
        <f t="shared" si="58"/>
        <v>0</v>
      </c>
      <c r="I131" s="972">
        <f t="shared" si="59"/>
        <v>3872.77</v>
      </c>
      <c r="J131" s="967"/>
      <c r="K131" s="1281" t="s">
        <v>767</v>
      </c>
      <c r="L131" s="432"/>
      <c r="M131" s="432"/>
      <c r="N131" s="432"/>
      <c r="O131" s="432"/>
      <c r="P131" s="432"/>
      <c r="Q131" s="432"/>
      <c r="R131" s="432"/>
      <c r="S131" s="432"/>
      <c r="T131" s="432"/>
      <c r="U131" s="432"/>
      <c r="V131" s="432"/>
    </row>
    <row r="132" spans="1:22" s="431" customFormat="1" ht="48">
      <c r="A132" s="967" t="s">
        <v>1771</v>
      </c>
      <c r="B132" s="968" t="str">
        <f>ประตู!A40</f>
        <v xml:space="preserve"> - D13 วงกบบานประตูอลูมิเนียม บานเปิดคู่ พร้อมช่องแสงติดตาย ลูกฟักกระจกลามิเนตใสตัดแสง หนา 3+3 มม. ขนาด 3.45x2.50 ม.</v>
      </c>
      <c r="C132" s="1144">
        <f>ประตู!F40</f>
        <v>1</v>
      </c>
      <c r="D132" s="969" t="s">
        <v>37</v>
      </c>
      <c r="E132" s="970">
        <f>ประตู!J40</f>
        <v>45849</v>
      </c>
      <c r="F132" s="725">
        <f t="shared" si="57"/>
        <v>45849</v>
      </c>
      <c r="G132" s="971">
        <f>ประตู!K40</f>
        <v>0</v>
      </c>
      <c r="H132" s="725">
        <f t="shared" si="58"/>
        <v>0</v>
      </c>
      <c r="I132" s="972">
        <f t="shared" si="59"/>
        <v>45849</v>
      </c>
      <c r="J132" s="967"/>
      <c r="L132" s="432"/>
      <c r="M132" s="432"/>
      <c r="N132" s="432"/>
      <c r="O132" s="432"/>
      <c r="P132" s="432"/>
      <c r="Q132" s="432"/>
      <c r="R132" s="432"/>
      <c r="S132" s="432"/>
      <c r="T132" s="432"/>
      <c r="U132" s="432"/>
      <c r="V132" s="432"/>
    </row>
    <row r="133" spans="1:22" s="431" customFormat="1">
      <c r="A133" s="967" t="s">
        <v>1772</v>
      </c>
      <c r="B133" s="968" t="str">
        <f>ประตู!A41</f>
        <v xml:space="preserve"> - D14 วงกบบานประตูเหล็กม้วน ขนาด 3.70x2.10 ม.</v>
      </c>
      <c r="C133" s="1144">
        <f>ประตู!F41</f>
        <v>1</v>
      </c>
      <c r="D133" s="969" t="s">
        <v>37</v>
      </c>
      <c r="E133" s="970">
        <f>ประตู!J41</f>
        <v>17357.54</v>
      </c>
      <c r="F133" s="725">
        <f t="shared" si="57"/>
        <v>17357.54</v>
      </c>
      <c r="G133" s="971">
        <f>ประตู!K41</f>
        <v>0</v>
      </c>
      <c r="H133" s="725">
        <f t="shared" si="58"/>
        <v>0</v>
      </c>
      <c r="I133" s="972">
        <f t="shared" si="59"/>
        <v>17357.54</v>
      </c>
      <c r="J133" s="967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</row>
    <row r="134" spans="1:22" s="431" customFormat="1">
      <c r="A134" s="967" t="s">
        <v>1773</v>
      </c>
      <c r="B134" s="968" t="str">
        <f>ประตู!A42</f>
        <v xml:space="preserve"> - D14.1 วงกบบานประตูเหล็กม้วน ขนาด 3.80x2.10 ม.</v>
      </c>
      <c r="C134" s="1144">
        <f>ประตู!F42</f>
        <v>1</v>
      </c>
      <c r="D134" s="969" t="s">
        <v>37</v>
      </c>
      <c r="E134" s="970">
        <f>ประตู!J42</f>
        <v>17744.09</v>
      </c>
      <c r="F134" s="725">
        <f t="shared" si="57"/>
        <v>17744.09</v>
      </c>
      <c r="G134" s="971">
        <f>ประตู!K42</f>
        <v>0</v>
      </c>
      <c r="H134" s="725">
        <f t="shared" si="58"/>
        <v>0</v>
      </c>
      <c r="I134" s="972">
        <f t="shared" si="59"/>
        <v>17744.09</v>
      </c>
      <c r="J134" s="967"/>
      <c r="L134" s="432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</row>
    <row r="135" spans="1:22" s="431" customFormat="1">
      <c r="A135" s="967" t="s">
        <v>1774</v>
      </c>
      <c r="B135" s="968" t="str">
        <f>ประตู!A43</f>
        <v xml:space="preserve"> - D14.2 วงกบบานประตูเหล็กม้วน ขนาด 2.70x2.10 ม.</v>
      </c>
      <c r="C135" s="1144">
        <f>ประตู!F43</f>
        <v>1</v>
      </c>
      <c r="D135" s="969" t="s">
        <v>37</v>
      </c>
      <c r="E135" s="970">
        <f>ประตู!J43</f>
        <v>13491.99</v>
      </c>
      <c r="F135" s="725">
        <f t="shared" si="57"/>
        <v>13491.99</v>
      </c>
      <c r="G135" s="971">
        <f>ประตู!K43</f>
        <v>0</v>
      </c>
      <c r="H135" s="725">
        <f t="shared" si="58"/>
        <v>0</v>
      </c>
      <c r="I135" s="972">
        <f t="shared" si="59"/>
        <v>13491.99</v>
      </c>
      <c r="J135" s="967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</row>
    <row r="136" spans="1:22" s="431" customFormat="1">
      <c r="A136" s="967" t="s">
        <v>1775</v>
      </c>
      <c r="B136" s="968" t="str">
        <f>ประตู!A44</f>
        <v xml:space="preserve"> - D15 วงกบบานประตูไม้เนื้อแข็ง กรุไม้อัดยางกันชื้น บานเปิดเดี่ยว ขนาด 0.90x1.85 ม.</v>
      </c>
      <c r="C136" s="1144">
        <f>ประตู!F44</f>
        <v>2</v>
      </c>
      <c r="D136" s="969" t="s">
        <v>37</v>
      </c>
      <c r="E136" s="970">
        <f>ประตู!J44</f>
        <v>4900</v>
      </c>
      <c r="F136" s="725">
        <f t="shared" si="57"/>
        <v>9800</v>
      </c>
      <c r="G136" s="971">
        <f>ประตู!K44</f>
        <v>1100</v>
      </c>
      <c r="H136" s="725">
        <f t="shared" si="58"/>
        <v>2200</v>
      </c>
      <c r="I136" s="972">
        <f t="shared" si="59"/>
        <v>12000</v>
      </c>
      <c r="J136" s="967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</row>
    <row r="137" spans="1:22" s="431" customFormat="1">
      <c r="A137" s="974"/>
      <c r="B137" s="975" t="s">
        <v>1375</v>
      </c>
      <c r="C137" s="976"/>
      <c r="D137" s="977"/>
      <c r="E137" s="978"/>
      <c r="F137" s="976"/>
      <c r="G137" s="979"/>
      <c r="H137" s="976"/>
      <c r="I137" s="980">
        <f>SUM(I119:I136)</f>
        <v>617833.39</v>
      </c>
      <c r="J137" s="974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</row>
    <row r="138" spans="1:22" s="431" customFormat="1">
      <c r="A138" s="961" t="s">
        <v>1376</v>
      </c>
      <c r="B138" s="962" t="s">
        <v>41</v>
      </c>
      <c r="C138" s="981"/>
      <c r="D138" s="964"/>
      <c r="E138" s="966"/>
      <c r="F138" s="981"/>
      <c r="G138" s="982"/>
      <c r="H138" s="981"/>
      <c r="I138" s="966"/>
      <c r="J138" s="961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</row>
    <row r="139" spans="1:22" s="431" customFormat="1" ht="48">
      <c r="A139" s="967" t="s">
        <v>1776</v>
      </c>
      <c r="B139" s="968" t="str">
        <f>ประตู!A45</f>
        <v xml:space="preserve"> - W1 วงกบบานหน้าต่างอลูมิเนียม ช่องแสงติดตาย ลูกฟักกระจกลามิเนตใสตัดแสง หนา 4+4 มม. ขนาด 10.8x5.05 ม.</v>
      </c>
      <c r="C139" s="1144">
        <f>ประตู!F45</f>
        <v>2</v>
      </c>
      <c r="D139" s="969" t="s">
        <v>37</v>
      </c>
      <c r="E139" s="970">
        <f>ประตู!J45</f>
        <v>225239</v>
      </c>
      <c r="F139" s="725">
        <f t="shared" ref="F139:F151" si="60">+E139*C139</f>
        <v>450478</v>
      </c>
      <c r="G139" s="971">
        <f>ประตู!K45</f>
        <v>0</v>
      </c>
      <c r="H139" s="725">
        <f t="shared" ref="H139:H151" si="61">+G139*C139</f>
        <v>0</v>
      </c>
      <c r="I139" s="972">
        <f t="shared" ref="I139:I151" si="62">+H139+F139</f>
        <v>450478</v>
      </c>
      <c r="J139" s="967"/>
      <c r="L139" s="432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</row>
    <row r="140" spans="1:22" s="431" customFormat="1" ht="48">
      <c r="A140" s="967" t="s">
        <v>1777</v>
      </c>
      <c r="B140" s="968" t="str">
        <f>ประตู!A46</f>
        <v xml:space="preserve"> - W2 วงกบบานหน้าต่างอลูมิเนียม บานกระทุ้ง พร้อมช่องแสงติดตาย ลูกฟักกระจกลามิเนตใสตัดแสง หนา 3+3 มม. ขนาด 1.15x2.00 ม.</v>
      </c>
      <c r="C140" s="1144">
        <f>ประตู!F46</f>
        <v>2</v>
      </c>
      <c r="D140" s="969" t="s">
        <v>37</v>
      </c>
      <c r="E140" s="970">
        <f>ประตู!J46</f>
        <v>12824</v>
      </c>
      <c r="F140" s="725">
        <f t="shared" si="60"/>
        <v>25648</v>
      </c>
      <c r="G140" s="971">
        <f>ประตู!K46</f>
        <v>0</v>
      </c>
      <c r="H140" s="725">
        <f t="shared" si="61"/>
        <v>0</v>
      </c>
      <c r="I140" s="972">
        <f t="shared" si="62"/>
        <v>25648</v>
      </c>
      <c r="J140" s="967"/>
      <c r="L140" s="432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</row>
    <row r="141" spans="1:22" s="431" customFormat="1">
      <c r="A141" s="967" t="s">
        <v>1778</v>
      </c>
      <c r="B141" s="983" t="str">
        <f>ประตู!A47</f>
        <v xml:space="preserve"> - W3 วงกบบานหน้าต่างอลูมิเนียม บานกระทุ้ง ลูกฟักกระจกฝ้า หนา 3+3 มม. ขนาด 1.35x0.50 ม.</v>
      </c>
      <c r="C141" s="1144">
        <f>ประตู!F47</f>
        <v>4</v>
      </c>
      <c r="D141" s="969" t="s">
        <v>37</v>
      </c>
      <c r="E141" s="970">
        <f>ประตู!J47</f>
        <v>5464</v>
      </c>
      <c r="F141" s="725">
        <f t="shared" si="60"/>
        <v>21856</v>
      </c>
      <c r="G141" s="971">
        <f>ประตู!K47</f>
        <v>0</v>
      </c>
      <c r="H141" s="725">
        <f t="shared" si="61"/>
        <v>0</v>
      </c>
      <c r="I141" s="972">
        <f t="shared" si="62"/>
        <v>21856</v>
      </c>
      <c r="J141" s="967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</row>
    <row r="142" spans="1:22" s="431" customFormat="1">
      <c r="A142" s="967" t="s">
        <v>1779</v>
      </c>
      <c r="B142" s="983" t="str">
        <f>ประตู!A48</f>
        <v xml:space="preserve"> - W4 วงกบบานหน้าต่างอลูมิเนียม บานกระทุ้ง ลูกฟักกระจกฝ้า หนา 3+3 มม. ขนาด 2.00x0.50 ม.</v>
      </c>
      <c r="C142" s="1144">
        <f>ประตู!F48</f>
        <v>2</v>
      </c>
      <c r="D142" s="969" t="s">
        <v>37</v>
      </c>
      <c r="E142" s="970">
        <f>ประตู!J48</f>
        <v>7301</v>
      </c>
      <c r="F142" s="725">
        <f t="shared" si="60"/>
        <v>14602</v>
      </c>
      <c r="G142" s="971">
        <f>ประตู!K48</f>
        <v>0</v>
      </c>
      <c r="H142" s="725">
        <f t="shared" si="61"/>
        <v>0</v>
      </c>
      <c r="I142" s="972">
        <f t="shared" si="62"/>
        <v>14602</v>
      </c>
      <c r="J142" s="967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</row>
    <row r="143" spans="1:22" s="431" customFormat="1" ht="48">
      <c r="A143" s="967" t="s">
        <v>1780</v>
      </c>
      <c r="B143" s="968" t="str">
        <f>ประตู!A49</f>
        <v xml:space="preserve"> - W5 วงกบบานหน้าต่างอลูมิเนียม บานเลื่อนสลับ พร้อมช่องแสงติดตาย ลูกฟักกระจกลามิเนตใสตัดแสง หนา 3+3 มม. ขนาด 2.55x1.50 ม.</v>
      </c>
      <c r="C143" s="1144">
        <f>ประตู!F49</f>
        <v>13</v>
      </c>
      <c r="D143" s="969" t="s">
        <v>37</v>
      </c>
      <c r="E143" s="970">
        <f>ประตู!J49</f>
        <v>18999</v>
      </c>
      <c r="F143" s="725">
        <f t="shared" si="60"/>
        <v>246987</v>
      </c>
      <c r="G143" s="971">
        <f>ประตู!K49</f>
        <v>0</v>
      </c>
      <c r="H143" s="725">
        <f t="shared" si="61"/>
        <v>0</v>
      </c>
      <c r="I143" s="972">
        <f t="shared" si="62"/>
        <v>246987</v>
      </c>
      <c r="J143" s="967"/>
      <c r="L143" s="432"/>
      <c r="M143" s="432"/>
      <c r="N143" s="432"/>
      <c r="O143" s="432"/>
      <c r="P143" s="432"/>
      <c r="Q143" s="432"/>
      <c r="R143" s="432"/>
      <c r="S143" s="432"/>
      <c r="T143" s="432"/>
      <c r="U143" s="432"/>
      <c r="V143" s="432"/>
    </row>
    <row r="144" spans="1:22" s="431" customFormat="1" ht="48">
      <c r="A144" s="967" t="s">
        <v>1781</v>
      </c>
      <c r="B144" s="968" t="str">
        <f>ประตู!A50</f>
        <v xml:space="preserve"> - W6 วงกบบานหน้าต่างอลูมิเนียม ช่องแสงติดตาย ลูกฟักกระจกลามิเนตใสตัดแสง หนา 3+3 มม. ขนาด 3.50x2.20 ม.</v>
      </c>
      <c r="C144" s="1144">
        <f>ประตู!F50</f>
        <v>3</v>
      </c>
      <c r="D144" s="969" t="s">
        <v>37</v>
      </c>
      <c r="E144" s="970">
        <f>ประตู!J50</f>
        <v>31195</v>
      </c>
      <c r="F144" s="725">
        <f t="shared" si="60"/>
        <v>93585</v>
      </c>
      <c r="G144" s="971">
        <f>ประตู!K50</f>
        <v>0</v>
      </c>
      <c r="H144" s="725">
        <f t="shared" si="61"/>
        <v>0</v>
      </c>
      <c r="I144" s="972">
        <f t="shared" si="62"/>
        <v>93585</v>
      </c>
      <c r="J144" s="967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</row>
    <row r="145" spans="1:22" s="431" customFormat="1" ht="48">
      <c r="A145" s="967" t="s">
        <v>1782</v>
      </c>
      <c r="B145" s="968" t="str">
        <f>ประตู!A51</f>
        <v xml:space="preserve"> - W7 วงกบบานหน้าต่างอลูมิเนียม ช่องแสงติดตาย ลูกฟักกระจกลามิเนตใสตัดแสง หนา 3+3 มม. ขนาด 1.50x2.20 ม.</v>
      </c>
      <c r="C145" s="1144">
        <f>ประตู!F51</f>
        <v>2</v>
      </c>
      <c r="D145" s="969" t="s">
        <v>37</v>
      </c>
      <c r="E145" s="970">
        <f>ประตู!J51</f>
        <v>13700</v>
      </c>
      <c r="F145" s="725">
        <f t="shared" si="60"/>
        <v>27400</v>
      </c>
      <c r="G145" s="971">
        <f>ประตู!K51</f>
        <v>0</v>
      </c>
      <c r="H145" s="725">
        <f t="shared" si="61"/>
        <v>0</v>
      </c>
      <c r="I145" s="972">
        <f t="shared" si="62"/>
        <v>27400</v>
      </c>
      <c r="J145" s="967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</row>
    <row r="146" spans="1:22" s="431" customFormat="1" ht="48">
      <c r="A146" s="967" t="s">
        <v>1783</v>
      </c>
      <c r="B146" s="968" t="str">
        <f>ประตู!A52</f>
        <v xml:space="preserve"> - W8 วงกบบานหน้าต่างอลูมิเนียม ช่องแสงติดตาย ลูกฟักกระจกลามิเนตใสตัดแสง หนา 3+3 มม. ขนาด 0.50x11.10 ม.</v>
      </c>
      <c r="C146" s="1144">
        <f>ประตู!F52</f>
        <v>2</v>
      </c>
      <c r="D146" s="969" t="s">
        <v>37</v>
      </c>
      <c r="E146" s="970">
        <f>ประตู!J52</f>
        <v>19914</v>
      </c>
      <c r="F146" s="725">
        <f t="shared" si="60"/>
        <v>39828</v>
      </c>
      <c r="G146" s="971">
        <f>ประตู!K52</f>
        <v>0</v>
      </c>
      <c r="H146" s="725">
        <f t="shared" si="61"/>
        <v>0</v>
      </c>
      <c r="I146" s="972">
        <f t="shared" si="62"/>
        <v>39828</v>
      </c>
      <c r="J146" s="967"/>
      <c r="L146" s="432"/>
      <c r="M146" s="432"/>
      <c r="N146" s="432"/>
      <c r="O146" s="432"/>
      <c r="P146" s="432"/>
      <c r="Q146" s="432"/>
      <c r="R146" s="432"/>
      <c r="S146" s="432"/>
      <c r="T146" s="432"/>
      <c r="U146" s="432"/>
      <c r="V146" s="432"/>
    </row>
    <row r="147" spans="1:22" s="431" customFormat="1" ht="48">
      <c r="A147" s="967" t="s">
        <v>1784</v>
      </c>
      <c r="B147" s="968" t="str">
        <f>ประตู!A53</f>
        <v xml:space="preserve"> - W8' วงกบบานหน้าต่างอลูมิเนียม ช่องแสงติดตาย ลูกฟักกระจกลามิเนตใสตัดแสง หนา 3+3 มม. ขนาด 0.50x9.45 ม.</v>
      </c>
      <c r="C147" s="1144">
        <f>ประตู!F53</f>
        <v>2</v>
      </c>
      <c r="D147" s="969" t="s">
        <v>37</v>
      </c>
      <c r="E147" s="970">
        <f>ประตู!J53</f>
        <v>17045</v>
      </c>
      <c r="F147" s="725">
        <f t="shared" si="60"/>
        <v>34090</v>
      </c>
      <c r="G147" s="971">
        <f>ประตู!K53</f>
        <v>0</v>
      </c>
      <c r="H147" s="725">
        <f t="shared" si="61"/>
        <v>0</v>
      </c>
      <c r="I147" s="972">
        <f t="shared" si="62"/>
        <v>34090</v>
      </c>
      <c r="J147" s="967"/>
      <c r="L147" s="432"/>
      <c r="M147" s="432"/>
      <c r="N147" s="432"/>
      <c r="O147" s="432"/>
      <c r="P147" s="432"/>
      <c r="Q147" s="432"/>
      <c r="R147" s="432"/>
      <c r="S147" s="432"/>
      <c r="T147" s="432"/>
      <c r="U147" s="432"/>
      <c r="V147" s="432"/>
    </row>
    <row r="148" spans="1:22" s="431" customFormat="1" ht="48">
      <c r="A148" s="967" t="s">
        <v>1785</v>
      </c>
      <c r="B148" s="968" t="str">
        <f>ประตู!A54</f>
        <v xml:space="preserve"> - W9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3.50x1.50 ม.</v>
      </c>
      <c r="C148" s="1144">
        <f>ประตู!F54</f>
        <v>3</v>
      </c>
      <c r="D148" s="969" t="s">
        <v>37</v>
      </c>
      <c r="E148" s="970">
        <f>ประตู!J54</f>
        <v>24670</v>
      </c>
      <c r="F148" s="725">
        <f t="shared" si="60"/>
        <v>74010</v>
      </c>
      <c r="G148" s="971">
        <f>ประตู!K54</f>
        <v>0</v>
      </c>
      <c r="H148" s="725">
        <f t="shared" si="61"/>
        <v>0</v>
      </c>
      <c r="I148" s="972">
        <f t="shared" si="62"/>
        <v>74010</v>
      </c>
      <c r="J148" s="967"/>
      <c r="L148" s="432"/>
      <c r="M148" s="432"/>
      <c r="N148" s="432"/>
      <c r="O148" s="432"/>
      <c r="P148" s="432"/>
      <c r="Q148" s="432"/>
      <c r="R148" s="432"/>
      <c r="S148" s="432"/>
      <c r="T148" s="432"/>
      <c r="U148" s="432"/>
      <c r="V148" s="432"/>
    </row>
    <row r="149" spans="1:22" s="431" customFormat="1" ht="48">
      <c r="A149" s="967" t="s">
        <v>1786</v>
      </c>
      <c r="B149" s="968" t="str">
        <f>ประตู!A55</f>
        <v xml:space="preserve"> - W9'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3.45x1.50 ม.</v>
      </c>
      <c r="C149" s="1144">
        <f>ประตู!F55</f>
        <v>2</v>
      </c>
      <c r="D149" s="969" t="s">
        <v>37</v>
      </c>
      <c r="E149" s="970">
        <f>ประตู!J55</f>
        <v>24421</v>
      </c>
      <c r="F149" s="725">
        <f t="shared" si="60"/>
        <v>48842</v>
      </c>
      <c r="G149" s="971">
        <f>ประตู!K55</f>
        <v>0</v>
      </c>
      <c r="H149" s="725">
        <f t="shared" si="61"/>
        <v>0</v>
      </c>
      <c r="I149" s="972">
        <f t="shared" si="62"/>
        <v>48842</v>
      </c>
      <c r="J149" s="967"/>
      <c r="L149" s="432"/>
      <c r="M149" s="432"/>
      <c r="N149" s="432"/>
      <c r="O149" s="432"/>
      <c r="P149" s="432"/>
      <c r="Q149" s="432"/>
      <c r="R149" s="432"/>
      <c r="S149" s="432"/>
      <c r="T149" s="432"/>
      <c r="U149" s="432"/>
      <c r="V149" s="432"/>
    </row>
    <row r="150" spans="1:22" s="431" customFormat="1" ht="48">
      <c r="A150" s="967" t="s">
        <v>1787</v>
      </c>
      <c r="B150" s="968" t="str">
        <f>ประตู!A56</f>
        <v xml:space="preserve"> - W10 วงกบบานหน้าต่างอลูมิเนียม บานเลื่อนคู่ พร้อมช่องแสงติดตาย ลูกฟักกระจกลามิเนตใสตัดแสง หนา 3+3 มม. ขนาด 4.375x1.50 ม.</v>
      </c>
      <c r="C150" s="1144">
        <f>ประตู!F56</f>
        <v>3</v>
      </c>
      <c r="D150" s="969" t="s">
        <v>37</v>
      </c>
      <c r="E150" s="970">
        <f>ประตู!J56</f>
        <v>30080</v>
      </c>
      <c r="F150" s="725">
        <f t="shared" si="60"/>
        <v>90240</v>
      </c>
      <c r="G150" s="971">
        <f>ประตู!K56</f>
        <v>0</v>
      </c>
      <c r="H150" s="725">
        <f t="shared" si="61"/>
        <v>0</v>
      </c>
      <c r="I150" s="972">
        <f t="shared" si="62"/>
        <v>90240</v>
      </c>
      <c r="J150" s="967"/>
      <c r="L150" s="432"/>
      <c r="M150" s="432"/>
      <c r="N150" s="432"/>
      <c r="O150" s="432"/>
      <c r="P150" s="432"/>
      <c r="Q150" s="432"/>
      <c r="R150" s="432"/>
      <c r="S150" s="432"/>
      <c r="T150" s="432"/>
      <c r="U150" s="432"/>
      <c r="V150" s="432"/>
    </row>
    <row r="151" spans="1:22" s="431" customFormat="1" ht="48">
      <c r="A151" s="967" t="s">
        <v>1788</v>
      </c>
      <c r="B151" s="968" t="str">
        <f>ประตู!A57</f>
        <v xml:space="preserve"> - W11 วงกบบานหน้าต่างอลูมิเนียม บานเลื่อนสลับ พร้อมช่องแสงติดตาย ลูกฟักกระจกลามิเนตใสตัดแสง หนา 3+3 มม. ขนาด 1.50x1.50 ม.</v>
      </c>
      <c r="C151" s="1144">
        <f>ประตู!F57</f>
        <v>4</v>
      </c>
      <c r="D151" s="969" t="s">
        <v>37</v>
      </c>
      <c r="E151" s="970">
        <f>ประตู!J57</f>
        <v>11105</v>
      </c>
      <c r="F151" s="725">
        <f t="shared" si="60"/>
        <v>44420</v>
      </c>
      <c r="G151" s="971">
        <f>ประตู!K57</f>
        <v>0</v>
      </c>
      <c r="H151" s="725">
        <f t="shared" si="61"/>
        <v>0</v>
      </c>
      <c r="I151" s="972">
        <f t="shared" si="62"/>
        <v>44420</v>
      </c>
      <c r="J151" s="967"/>
      <c r="L151" s="432"/>
      <c r="M151" s="432"/>
      <c r="N151" s="432"/>
      <c r="O151" s="432"/>
      <c r="P151" s="432"/>
      <c r="Q151" s="432"/>
      <c r="R151" s="432"/>
      <c r="S151" s="432"/>
      <c r="T151" s="432"/>
      <c r="U151" s="432"/>
      <c r="V151" s="432"/>
    </row>
    <row r="152" spans="1:22" s="431" customFormat="1">
      <c r="A152" s="974"/>
      <c r="B152" s="975" t="s">
        <v>1377</v>
      </c>
      <c r="C152" s="976"/>
      <c r="D152" s="977"/>
      <c r="E152" s="978"/>
      <c r="F152" s="976"/>
      <c r="G152" s="979"/>
      <c r="H152" s="976"/>
      <c r="I152" s="980">
        <f>SUM(I139:I151)</f>
        <v>1211986</v>
      </c>
      <c r="J152" s="974"/>
      <c r="L152" s="432"/>
      <c r="M152" s="432"/>
      <c r="N152" s="432"/>
      <c r="O152" s="432"/>
      <c r="P152" s="432"/>
      <c r="Q152" s="432"/>
      <c r="R152" s="432"/>
      <c r="S152" s="432"/>
      <c r="T152" s="432"/>
      <c r="U152" s="432"/>
      <c r="V152" s="432"/>
    </row>
    <row r="153" spans="1:22" s="431" customFormat="1">
      <c r="A153" s="984"/>
      <c r="B153" s="985" t="s">
        <v>1292</v>
      </c>
      <c r="C153" s="986"/>
      <c r="D153" s="987"/>
      <c r="E153" s="988"/>
      <c r="F153" s="986"/>
      <c r="G153" s="989"/>
      <c r="H153" s="986"/>
      <c r="I153" s="928">
        <f>I137+I152</f>
        <v>1829819.3900000001</v>
      </c>
      <c r="J153" s="984"/>
      <c r="L153" s="432"/>
      <c r="M153" s="432"/>
      <c r="N153" s="432"/>
      <c r="O153" s="432"/>
      <c r="P153" s="432"/>
      <c r="Q153" s="432"/>
      <c r="R153" s="432"/>
      <c r="S153" s="432"/>
      <c r="T153" s="432"/>
      <c r="U153" s="432"/>
      <c r="V153" s="432"/>
    </row>
    <row r="154" spans="1:22" s="336" customFormat="1" ht="26.25" customHeight="1">
      <c r="A154" s="954" t="s">
        <v>123</v>
      </c>
      <c r="B154" s="990" t="s">
        <v>90</v>
      </c>
      <c r="C154" s="991"/>
      <c r="D154" s="992"/>
      <c r="E154" s="993"/>
      <c r="F154" s="993"/>
      <c r="G154" s="993"/>
      <c r="H154" s="993"/>
      <c r="I154" s="994"/>
      <c r="J154" s="960"/>
      <c r="L154" s="337"/>
      <c r="M154" s="337"/>
      <c r="N154" s="337"/>
      <c r="O154" s="432"/>
      <c r="P154" s="432"/>
      <c r="Q154" s="432"/>
      <c r="R154" s="432"/>
      <c r="S154" s="432"/>
      <c r="T154" s="337"/>
      <c r="U154" s="337"/>
      <c r="V154" s="337"/>
    </row>
    <row r="155" spans="1:22" s="336" customFormat="1" ht="26.25" customHeight="1">
      <c r="A155" s="967" t="s">
        <v>1643</v>
      </c>
      <c r="B155" s="995" t="str">
        <f>'ปร.1(2)'!B9</f>
        <v xml:space="preserve"> - โถสุขภัณฑ์ สองชิ้น</v>
      </c>
      <c r="C155" s="996">
        <f>'ปร.1(2)'!I9</f>
        <v>18</v>
      </c>
      <c r="D155" s="997" t="str">
        <f>'ปร.1(2)'!J9</f>
        <v>ชุด</v>
      </c>
      <c r="E155" s="998">
        <f>'ปร.1(2)'!K9</f>
        <v>4850</v>
      </c>
      <c r="F155" s="998">
        <f t="shared" ref="F155:F177" si="63">E155*C155</f>
        <v>87300</v>
      </c>
      <c r="G155" s="998">
        <f>'ปร.1(2)'!L9</f>
        <v>450</v>
      </c>
      <c r="H155" s="998">
        <f t="shared" ref="H155:H177" si="64">G155*C155</f>
        <v>8100</v>
      </c>
      <c r="I155" s="999">
        <f t="shared" ref="I155:I177" si="65">H155+F155</f>
        <v>95400</v>
      </c>
      <c r="J155" s="967"/>
      <c r="L155" s="337"/>
      <c r="M155" s="337"/>
      <c r="N155" s="337"/>
      <c r="O155" s="432"/>
      <c r="P155" s="432"/>
      <c r="Q155" s="432"/>
      <c r="R155" s="432"/>
      <c r="S155" s="337"/>
      <c r="T155" s="337"/>
      <c r="U155" s="337"/>
      <c r="V155" s="337"/>
    </row>
    <row r="156" spans="1:22" s="336" customFormat="1" ht="26.25" customHeight="1">
      <c r="A156" s="967" t="s">
        <v>1789</v>
      </c>
      <c r="B156" s="995" t="str">
        <f>'ปร.1(2)'!B10</f>
        <v xml:space="preserve">     • STOP VALVE 1/2"  </v>
      </c>
      <c r="C156" s="996">
        <f>'ปร.1(2)'!I10</f>
        <v>18</v>
      </c>
      <c r="D156" s="997" t="str">
        <f>'ปร.1(2)'!J10</f>
        <v>ตัว</v>
      </c>
      <c r="E156" s="998">
        <f>'ปร.1(2)'!K10</f>
        <v>80</v>
      </c>
      <c r="F156" s="998">
        <f t="shared" si="63"/>
        <v>1440</v>
      </c>
      <c r="G156" s="998">
        <f>'ปร.1(2)'!L10</f>
        <v>35</v>
      </c>
      <c r="H156" s="998">
        <f t="shared" si="64"/>
        <v>630</v>
      </c>
      <c r="I156" s="999">
        <f t="shared" si="65"/>
        <v>2070</v>
      </c>
      <c r="J156" s="967"/>
      <c r="L156" s="337"/>
      <c r="M156" s="337"/>
      <c r="N156" s="337"/>
      <c r="O156" s="432"/>
      <c r="P156" s="432"/>
      <c r="Q156" s="432"/>
      <c r="R156" s="432"/>
      <c r="S156" s="337"/>
      <c r="T156" s="337"/>
      <c r="U156" s="337"/>
      <c r="V156" s="337"/>
    </row>
    <row r="157" spans="1:22" s="336" customFormat="1" ht="26.25" customHeight="1">
      <c r="A157" s="967" t="s">
        <v>1790</v>
      </c>
      <c r="B157" s="995" t="str">
        <f>'ปร.1(2)'!B11</f>
        <v xml:space="preserve"> - สายฉีดชำระ </v>
      </c>
      <c r="C157" s="996">
        <f>'ปร.1(2)'!I11</f>
        <v>18</v>
      </c>
      <c r="D157" s="997" t="str">
        <f>'ปร.1(2)'!J11</f>
        <v>ชุด</v>
      </c>
      <c r="E157" s="998">
        <f>'ปร.1(2)'!K11</f>
        <v>300</v>
      </c>
      <c r="F157" s="998">
        <f t="shared" si="63"/>
        <v>5400</v>
      </c>
      <c r="G157" s="998">
        <f>'ปร.1(2)'!L11</f>
        <v>70</v>
      </c>
      <c r="H157" s="998">
        <f t="shared" si="64"/>
        <v>1260</v>
      </c>
      <c r="I157" s="999">
        <f t="shared" si="65"/>
        <v>6660</v>
      </c>
      <c r="J157" s="967"/>
      <c r="L157" s="337"/>
      <c r="M157" s="337"/>
      <c r="N157" s="337"/>
      <c r="O157" s="432"/>
      <c r="P157" s="432"/>
      <c r="Q157" s="432"/>
      <c r="R157" s="337"/>
      <c r="S157" s="337"/>
      <c r="T157" s="337"/>
      <c r="U157" s="337"/>
      <c r="V157" s="337"/>
    </row>
    <row r="158" spans="1:22" s="336" customFormat="1" ht="26.25" customHeight="1">
      <c r="A158" s="967" t="s">
        <v>1791</v>
      </c>
      <c r="B158" s="995" t="str">
        <f>'ปร.1(2)'!B12</f>
        <v xml:space="preserve">     • STOP VALVE 1/2"  </v>
      </c>
      <c r="C158" s="996">
        <f>'ปร.1(2)'!I12</f>
        <v>18</v>
      </c>
      <c r="D158" s="997" t="str">
        <f>'ปร.1(2)'!J12</f>
        <v>ตัว</v>
      </c>
      <c r="E158" s="998">
        <f>'ปร.1(2)'!K12</f>
        <v>80</v>
      </c>
      <c r="F158" s="998">
        <f t="shared" si="63"/>
        <v>1440</v>
      </c>
      <c r="G158" s="998">
        <f>'ปร.1(2)'!L12</f>
        <v>35</v>
      </c>
      <c r="H158" s="998">
        <f t="shared" si="64"/>
        <v>630</v>
      </c>
      <c r="I158" s="999">
        <f t="shared" si="65"/>
        <v>2070</v>
      </c>
      <c r="J158" s="967"/>
      <c r="L158" s="337"/>
      <c r="M158" s="337"/>
      <c r="N158" s="337"/>
      <c r="O158" s="432"/>
      <c r="P158" s="432"/>
      <c r="Q158" s="432"/>
      <c r="R158" s="337"/>
      <c r="S158" s="337"/>
      <c r="T158" s="337"/>
      <c r="U158" s="337"/>
      <c r="V158" s="337"/>
    </row>
    <row r="159" spans="1:22" s="336" customFormat="1" ht="26.25" customHeight="1">
      <c r="A159" s="967" t="s">
        <v>1792</v>
      </c>
      <c r="B159" s="995" t="str">
        <f>'ปร.1(2)'!B13</f>
        <v xml:space="preserve"> - ที่ใส่กระดาษชำระ </v>
      </c>
      <c r="C159" s="996">
        <f>'ปร.1(2)'!I13</f>
        <v>18</v>
      </c>
      <c r="D159" s="997" t="str">
        <f>'ปร.1(2)'!J13</f>
        <v>ชุด</v>
      </c>
      <c r="E159" s="1437" t="s">
        <v>1180</v>
      </c>
      <c r="F159" s="1437"/>
      <c r="G159" s="1437"/>
      <c r="H159" s="1437"/>
      <c r="I159" s="1000"/>
      <c r="J159" s="967"/>
      <c r="L159" s="337"/>
      <c r="M159" s="337"/>
      <c r="N159" s="337"/>
      <c r="O159" s="337"/>
      <c r="P159" s="337"/>
      <c r="Q159" s="337"/>
      <c r="R159" s="337"/>
      <c r="S159" s="337"/>
      <c r="T159" s="337"/>
      <c r="U159" s="337"/>
      <c r="V159" s="337"/>
    </row>
    <row r="160" spans="1:22" s="336" customFormat="1" ht="26.25" customHeight="1">
      <c r="A160" s="967" t="s">
        <v>1793</v>
      </c>
      <c r="B160" s="995" t="str">
        <f>'ปร.1(2)'!B14</f>
        <v xml:space="preserve"> - อ่างล้างหน้าแบบฝังเคาน์เตอร์ </v>
      </c>
      <c r="C160" s="1434">
        <f>'ปร.1(2)'!I14</f>
        <v>12</v>
      </c>
      <c r="D160" s="1435" t="str">
        <f>'ปร.1(2)'!J14</f>
        <v>ชุด</v>
      </c>
      <c r="E160" s="1436">
        <f>'ปร.1(2)'!K14</f>
        <v>3500</v>
      </c>
      <c r="F160" s="1436">
        <f t="shared" si="63"/>
        <v>42000</v>
      </c>
      <c r="G160" s="1436">
        <f>'ปร.1(2)'!L14</f>
        <v>450</v>
      </c>
      <c r="H160" s="1436">
        <f t="shared" si="64"/>
        <v>5400</v>
      </c>
      <c r="I160" s="1434">
        <f t="shared" si="65"/>
        <v>47400</v>
      </c>
      <c r="J160" s="967"/>
      <c r="L160" s="337"/>
      <c r="M160" s="337"/>
      <c r="N160" s="337"/>
      <c r="O160" s="337"/>
      <c r="P160" s="337"/>
      <c r="Q160" s="337"/>
      <c r="R160" s="337"/>
      <c r="S160" s="337"/>
      <c r="T160" s="337"/>
      <c r="U160" s="337"/>
      <c r="V160" s="337"/>
    </row>
    <row r="161" spans="1:22" s="336" customFormat="1" ht="26.25" customHeight="1">
      <c r="A161" s="967" t="s">
        <v>1518</v>
      </c>
      <c r="B161" s="995" t="str">
        <f>'ปร.1(2)'!B15</f>
        <v xml:space="preserve">     • ก๊อกน้ำเดี่ยวอ่างล้างหน้า  </v>
      </c>
      <c r="C161" s="1434"/>
      <c r="D161" s="1435"/>
      <c r="E161" s="1436"/>
      <c r="F161" s="1436"/>
      <c r="G161" s="1436"/>
      <c r="H161" s="1436"/>
      <c r="I161" s="1434"/>
      <c r="J161" s="967"/>
      <c r="L161" s="337"/>
      <c r="M161" s="337"/>
      <c r="N161" s="337"/>
      <c r="O161" s="337"/>
      <c r="P161" s="337"/>
      <c r="Q161" s="337"/>
      <c r="R161" s="337"/>
      <c r="S161" s="337"/>
      <c r="T161" s="337"/>
      <c r="U161" s="337"/>
      <c r="V161" s="337"/>
    </row>
    <row r="162" spans="1:22" s="336" customFormat="1" ht="26.25" customHeight="1">
      <c r="A162" s="967" t="s">
        <v>1794</v>
      </c>
      <c r="B162" s="995" t="str">
        <f>'ปร.1(2)'!B16</f>
        <v xml:space="preserve">     • ท่อน้ำทิ้งอ่างล้างหน้า  </v>
      </c>
      <c r="C162" s="1434"/>
      <c r="D162" s="1435"/>
      <c r="E162" s="1436"/>
      <c r="F162" s="1436"/>
      <c r="G162" s="1436"/>
      <c r="H162" s="1436"/>
      <c r="I162" s="1434"/>
      <c r="J162" s="967"/>
      <c r="L162" s="337"/>
      <c r="M162" s="337"/>
      <c r="N162" s="337"/>
      <c r="O162" s="337"/>
      <c r="P162" s="337"/>
      <c r="Q162" s="337"/>
      <c r="R162" s="337"/>
      <c r="S162" s="337"/>
      <c r="T162" s="337"/>
      <c r="U162" s="337"/>
      <c r="V162" s="337"/>
    </row>
    <row r="163" spans="1:22" s="336" customFormat="1" ht="26.25" customHeight="1">
      <c r="A163" s="967" t="s">
        <v>1795</v>
      </c>
      <c r="B163" s="995" t="str">
        <f>'ปร.1(2)'!B17</f>
        <v xml:space="preserve">     • สะดืออ่างล้างหน้าแบบกด  </v>
      </c>
      <c r="C163" s="1434"/>
      <c r="D163" s="1435"/>
      <c r="E163" s="1436"/>
      <c r="F163" s="1436"/>
      <c r="G163" s="1436"/>
      <c r="H163" s="1436"/>
      <c r="I163" s="1434"/>
      <c r="J163" s="967"/>
      <c r="L163" s="337"/>
      <c r="M163" s="337"/>
      <c r="N163" s="337"/>
      <c r="O163" s="337"/>
      <c r="P163" s="337"/>
      <c r="Q163" s="337"/>
      <c r="R163" s="337"/>
      <c r="S163" s="337"/>
      <c r="T163" s="337"/>
      <c r="U163" s="337"/>
      <c r="V163" s="337"/>
    </row>
    <row r="164" spans="1:22" s="336" customFormat="1" ht="26.25" customHeight="1">
      <c r="A164" s="967" t="s">
        <v>1796</v>
      </c>
      <c r="B164" s="995" t="str">
        <f>'ปร.1(2)'!B18</f>
        <v xml:space="preserve">     • สายน้ำดีอ่างล้างหน้า สายถักสแตนเลส</v>
      </c>
      <c r="C164" s="1434"/>
      <c r="D164" s="1435"/>
      <c r="E164" s="1436"/>
      <c r="F164" s="1436"/>
      <c r="G164" s="1436"/>
      <c r="H164" s="1436"/>
      <c r="I164" s="1434"/>
      <c r="J164" s="967"/>
      <c r="L164" s="337"/>
      <c r="M164" s="337"/>
      <c r="N164" s="337"/>
      <c r="O164" s="337"/>
      <c r="P164" s="337"/>
      <c r="Q164" s="337"/>
      <c r="R164" s="337"/>
      <c r="S164" s="337"/>
      <c r="T164" s="337"/>
      <c r="U164" s="337"/>
      <c r="V164" s="337"/>
    </row>
    <row r="165" spans="1:22" s="336" customFormat="1" ht="26.25" customHeight="1">
      <c r="A165" s="967" t="s">
        <v>1797</v>
      </c>
      <c r="B165" s="995" t="str">
        <f>'ปร.1(2)'!B19</f>
        <v xml:space="preserve">     • STOP VALVE 1/2"  </v>
      </c>
      <c r="C165" s="1434"/>
      <c r="D165" s="1435"/>
      <c r="E165" s="1436"/>
      <c r="F165" s="1436"/>
      <c r="G165" s="1436"/>
      <c r="H165" s="1436"/>
      <c r="I165" s="1434"/>
      <c r="J165" s="967"/>
      <c r="L165" s="337"/>
      <c r="M165" s="337"/>
      <c r="N165" s="337"/>
      <c r="O165" s="337"/>
      <c r="P165" s="337"/>
      <c r="Q165" s="337"/>
      <c r="R165" s="337"/>
      <c r="S165" s="337"/>
      <c r="T165" s="337"/>
      <c r="U165" s="337"/>
      <c r="V165" s="337"/>
    </row>
    <row r="166" spans="1:22" s="336" customFormat="1" ht="26.25" customHeight="1">
      <c r="A166" s="967" t="s">
        <v>1798</v>
      </c>
      <c r="B166" s="995" t="str">
        <f>'ปร.1(2)'!B20</f>
        <v xml:space="preserve"> - กระจกเงาติดผนัง ขนาด 2.80 x 0.80 ม. หนา 6 มม.  </v>
      </c>
      <c r="C166" s="996">
        <f>'ปร.1(2)'!I20</f>
        <v>2</v>
      </c>
      <c r="D166" s="997" t="str">
        <f>'ปร.1(2)'!J20</f>
        <v>บาน</v>
      </c>
      <c r="E166" s="998">
        <f>'ปร.1(2)'!K20</f>
        <v>2460</v>
      </c>
      <c r="F166" s="998">
        <f t="shared" si="63"/>
        <v>4920</v>
      </c>
      <c r="G166" s="998">
        <f>'ปร.1(2)'!L20</f>
        <v>120</v>
      </c>
      <c r="H166" s="998">
        <f t="shared" si="64"/>
        <v>240</v>
      </c>
      <c r="I166" s="999">
        <f t="shared" si="65"/>
        <v>5160</v>
      </c>
      <c r="J166" s="967"/>
      <c r="L166" s="337"/>
      <c r="M166" s="337"/>
      <c r="N166" s="337"/>
      <c r="O166" s="337"/>
      <c r="P166" s="337"/>
      <c r="Q166" s="337"/>
      <c r="R166" s="337"/>
      <c r="S166" s="337"/>
      <c r="T166" s="337"/>
      <c r="U166" s="337"/>
      <c r="V166" s="337"/>
    </row>
    <row r="167" spans="1:22" s="336" customFormat="1" ht="26.25" customHeight="1">
      <c r="A167" s="967" t="s">
        <v>1799</v>
      </c>
      <c r="B167" s="995" t="str">
        <f>'ปร.1(2)'!B21</f>
        <v xml:space="preserve"> - กระจกเงาติดผนัง ขนาด 3.20 x 0.80 ม. หนา 6 มม.  </v>
      </c>
      <c r="C167" s="996">
        <f>'ปร.1(2)'!I21</f>
        <v>2</v>
      </c>
      <c r="D167" s="997" t="str">
        <f>'ปร.1(2)'!J21</f>
        <v>บาน</v>
      </c>
      <c r="E167" s="998">
        <f>'ปร.1(2)'!K21</f>
        <v>2811</v>
      </c>
      <c r="F167" s="998">
        <f t="shared" si="63"/>
        <v>5622</v>
      </c>
      <c r="G167" s="998">
        <f>'ปร.1(2)'!L21</f>
        <v>120</v>
      </c>
      <c r="H167" s="998">
        <f t="shared" si="64"/>
        <v>240</v>
      </c>
      <c r="I167" s="999">
        <f t="shared" si="65"/>
        <v>5862</v>
      </c>
      <c r="J167" s="967"/>
      <c r="L167" s="337"/>
      <c r="M167" s="337"/>
      <c r="N167" s="337"/>
      <c r="O167" s="337"/>
      <c r="P167" s="337"/>
      <c r="Q167" s="337"/>
      <c r="R167" s="337"/>
      <c r="S167" s="337"/>
      <c r="T167" s="337"/>
      <c r="U167" s="337"/>
      <c r="V167" s="337"/>
    </row>
    <row r="168" spans="1:22" s="336" customFormat="1" ht="26.25" customHeight="1">
      <c r="A168" s="967" t="s">
        <v>1800</v>
      </c>
      <c r="B168" s="995" t="str">
        <f>'ปร.1(2)'!B22</f>
        <v xml:space="preserve"> - โถปัสสาวะชาย พร้อมก็อกแบบกด</v>
      </c>
      <c r="C168" s="996">
        <f>'ปร.1(2)'!I22</f>
        <v>8</v>
      </c>
      <c r="D168" s="997" t="str">
        <f>'ปร.1(2)'!J22</f>
        <v>ชุด</v>
      </c>
      <c r="E168" s="998">
        <f>'ปร.1(2)'!K22</f>
        <v>2100</v>
      </c>
      <c r="F168" s="998">
        <f t="shared" si="63"/>
        <v>16800</v>
      </c>
      <c r="G168" s="998">
        <f>'ปร.1(2)'!L22</f>
        <v>450</v>
      </c>
      <c r="H168" s="998">
        <f t="shared" si="64"/>
        <v>3600</v>
      </c>
      <c r="I168" s="999">
        <f t="shared" si="65"/>
        <v>20400</v>
      </c>
      <c r="J168" s="967"/>
      <c r="L168" s="337"/>
      <c r="M168" s="337"/>
      <c r="N168" s="337"/>
      <c r="O168" s="337"/>
      <c r="P168" s="337"/>
      <c r="Q168" s="337"/>
      <c r="R168" s="337"/>
      <c r="S168" s="337"/>
      <c r="T168" s="337"/>
      <c r="U168" s="337"/>
      <c r="V168" s="337"/>
    </row>
    <row r="169" spans="1:22" s="336" customFormat="1" ht="26.25" customHeight="1">
      <c r="A169" s="967" t="s">
        <v>1801</v>
      </c>
      <c r="B169" s="995" t="str">
        <f>'ปร.1(2)'!B23</f>
        <v xml:space="preserve"> - ก๊อกล้างพื้น</v>
      </c>
      <c r="C169" s="996">
        <f>'ปร.1(2)'!I23</f>
        <v>4</v>
      </c>
      <c r="D169" s="997" t="str">
        <f>'ปร.1(2)'!J23</f>
        <v>อัน</v>
      </c>
      <c r="E169" s="998">
        <f>'ปร.1(2)'!K23</f>
        <v>125</v>
      </c>
      <c r="F169" s="998">
        <f t="shared" si="63"/>
        <v>500</v>
      </c>
      <c r="G169" s="998">
        <f>'ปร.1(2)'!L23</f>
        <v>25</v>
      </c>
      <c r="H169" s="998">
        <f t="shared" si="64"/>
        <v>100</v>
      </c>
      <c r="I169" s="999">
        <f t="shared" si="65"/>
        <v>600</v>
      </c>
      <c r="J169" s="967"/>
      <c r="L169" s="337"/>
      <c r="M169" s="337"/>
      <c r="N169" s="337"/>
      <c r="O169" s="337"/>
      <c r="P169" s="337"/>
      <c r="Q169" s="337"/>
      <c r="R169" s="337"/>
      <c r="S169" s="337"/>
      <c r="T169" s="337"/>
      <c r="U169" s="337"/>
      <c r="V169" s="337"/>
    </row>
    <row r="170" spans="1:22" s="336" customFormat="1" ht="26.25" customHeight="1">
      <c r="A170" s="967" t="s">
        <v>1802</v>
      </c>
      <c r="B170" s="995" t="str">
        <f>'ปร.1(2)'!B24</f>
        <v xml:space="preserve"> - ชุดผนังห้องน้ำสำเร็จรูป หนาไม่น้อยกว่า 25 มม.</v>
      </c>
      <c r="C170" s="996">
        <f>'ปร.1(2)'!I24</f>
        <v>18</v>
      </c>
      <c r="D170" s="997" t="str">
        <f>'ปร.1(2)'!J24</f>
        <v>ชุด</v>
      </c>
      <c r="E170" s="998">
        <f>'ปร.1(2)'!K24</f>
        <v>12500</v>
      </c>
      <c r="F170" s="998">
        <f t="shared" si="63"/>
        <v>225000</v>
      </c>
      <c r="G170" s="998">
        <f>'ปร.1(2)'!L24</f>
        <v>900</v>
      </c>
      <c r="H170" s="998">
        <f t="shared" si="64"/>
        <v>16200</v>
      </c>
      <c r="I170" s="999">
        <f t="shared" si="65"/>
        <v>241200</v>
      </c>
      <c r="J170" s="967"/>
      <c r="L170" s="337"/>
      <c r="M170" s="337"/>
      <c r="N170" s="337"/>
      <c r="O170" s="337"/>
      <c r="P170" s="337"/>
      <c r="Q170" s="337"/>
      <c r="R170" s="337"/>
      <c r="S170" s="337"/>
      <c r="T170" s="337"/>
      <c r="U170" s="337"/>
      <c r="V170" s="337"/>
    </row>
    <row r="171" spans="1:22" s="336" customFormat="1" ht="26.25" customHeight="1">
      <c r="A171" s="967" t="s">
        <v>1803</v>
      </c>
      <c r="B171" s="995" t="str">
        <f>'ปร.1(2)'!B25</f>
        <v xml:space="preserve"> -  TOP เคาน์เตอร์ กรุกระเบื้อง ผิวด้าน สีเทาอ่อน ขนาด 30x30 ซม. </v>
      </c>
      <c r="C171" s="996">
        <f>'ปร.1(2)'!I25</f>
        <v>14</v>
      </c>
      <c r="D171" s="997" t="str">
        <f>'ปร.1(2)'!J25</f>
        <v>ตร.ม</v>
      </c>
      <c r="E171" s="998">
        <f>'ปร.1(2)'!K25</f>
        <v>257</v>
      </c>
      <c r="F171" s="998">
        <f t="shared" si="63"/>
        <v>3598</v>
      </c>
      <c r="G171" s="998">
        <f>'ปร.1(2)'!L25</f>
        <v>158</v>
      </c>
      <c r="H171" s="998">
        <f t="shared" si="64"/>
        <v>2212</v>
      </c>
      <c r="I171" s="999">
        <f t="shared" si="65"/>
        <v>5810</v>
      </c>
      <c r="J171" s="967"/>
      <c r="L171" s="337"/>
      <c r="M171" s="337"/>
      <c r="N171" s="337"/>
      <c r="O171" s="337"/>
      <c r="P171" s="337"/>
      <c r="Q171" s="337"/>
      <c r="R171" s="337"/>
      <c r="S171" s="337"/>
      <c r="T171" s="337"/>
      <c r="U171" s="337"/>
      <c r="V171" s="337"/>
    </row>
    <row r="172" spans="1:22" s="336" customFormat="1" ht="26.25" customHeight="1">
      <c r="A172" s="967" t="s">
        <v>1804</v>
      </c>
      <c r="B172" s="995" t="str">
        <f>'ปร.1(2)'!B26</f>
        <v xml:space="preserve"> - งานหล่อเคาน์เตอร์</v>
      </c>
      <c r="C172" s="996">
        <f>'ปร.1(2)'!I26</f>
        <v>12</v>
      </c>
      <c r="D172" s="997" t="str">
        <f>'ปร.1(2)'!J26</f>
        <v>ม.</v>
      </c>
      <c r="E172" s="998">
        <f>'ปร.1(2)'!K26</f>
        <v>0</v>
      </c>
      <c r="F172" s="998">
        <f t="shared" si="63"/>
        <v>0</v>
      </c>
      <c r="G172" s="998">
        <f>'ปร.1(2)'!L26</f>
        <v>160</v>
      </c>
      <c r="H172" s="998">
        <f t="shared" si="64"/>
        <v>1920</v>
      </c>
      <c r="I172" s="999">
        <f t="shared" si="65"/>
        <v>1920</v>
      </c>
      <c r="J172" s="967"/>
      <c r="L172" s="337"/>
      <c r="M172" s="337"/>
      <c r="N172" s="337"/>
      <c r="O172" s="337"/>
      <c r="P172" s="337"/>
      <c r="Q172" s="337"/>
      <c r="R172" s="337"/>
      <c r="S172" s="337"/>
      <c r="T172" s="337"/>
      <c r="U172" s="337"/>
      <c r="V172" s="337"/>
    </row>
    <row r="173" spans="1:22" s="336" customFormat="1" ht="26.25" customHeight="1">
      <c r="A173" s="967" t="s">
        <v>1805</v>
      </c>
      <c r="B173" s="995" t="str">
        <f>'ปร.1(2)'!B27</f>
        <v xml:space="preserve">     • ปูนซีเมนต์</v>
      </c>
      <c r="C173" s="996">
        <f>'ปร.1(2)'!I27</f>
        <v>12</v>
      </c>
      <c r="D173" s="997" t="str">
        <f>'ปร.1(2)'!J27</f>
        <v>ถุง</v>
      </c>
      <c r="E173" s="998">
        <f>'ปร.1(2)'!K27</f>
        <v>108.27</v>
      </c>
      <c r="F173" s="998">
        <f t="shared" si="63"/>
        <v>1299.24</v>
      </c>
      <c r="G173" s="998">
        <f>'ปร.1(2)'!L27</f>
        <v>0</v>
      </c>
      <c r="H173" s="998">
        <f t="shared" si="64"/>
        <v>0</v>
      </c>
      <c r="I173" s="999">
        <f t="shared" si="65"/>
        <v>1299.24</v>
      </c>
      <c r="J173" s="967"/>
      <c r="L173" s="337"/>
      <c r="M173" s="337"/>
      <c r="N173" s="337"/>
      <c r="O173" s="337"/>
      <c r="P173" s="337"/>
      <c r="Q173" s="337"/>
      <c r="R173" s="337"/>
      <c r="S173" s="337"/>
      <c r="T173" s="337"/>
      <c r="U173" s="337"/>
      <c r="V173" s="337"/>
    </row>
    <row r="174" spans="1:22" s="336" customFormat="1" ht="26.25" customHeight="1">
      <c r="A174" s="967" t="s">
        <v>1807</v>
      </c>
      <c r="B174" s="995" t="str">
        <f>'ปร.1(2)'!B28</f>
        <v xml:space="preserve">     • ทรายหยาบ</v>
      </c>
      <c r="C174" s="996">
        <f>'ปร.1(2)'!I28</f>
        <v>4</v>
      </c>
      <c r="D174" s="997" t="str">
        <f>'ปร.1(2)'!J28</f>
        <v>ลบ.ม</v>
      </c>
      <c r="E174" s="998">
        <f>'ปร.1(2)'!K28</f>
        <v>537.39</v>
      </c>
      <c r="F174" s="998">
        <f t="shared" si="63"/>
        <v>2149.56</v>
      </c>
      <c r="G174" s="998">
        <f>'ปร.1(2)'!L28</f>
        <v>0</v>
      </c>
      <c r="H174" s="998">
        <f t="shared" si="64"/>
        <v>0</v>
      </c>
      <c r="I174" s="999">
        <f t="shared" si="65"/>
        <v>2149.56</v>
      </c>
      <c r="J174" s="967"/>
      <c r="L174" s="337"/>
      <c r="M174" s="337"/>
      <c r="N174" s="337"/>
      <c r="O174" s="337"/>
      <c r="P174" s="337"/>
      <c r="Q174" s="337"/>
      <c r="R174" s="337"/>
      <c r="S174" s="337"/>
      <c r="T174" s="337"/>
      <c r="U174" s="337"/>
      <c r="V174" s="337"/>
    </row>
    <row r="175" spans="1:22" s="336" customFormat="1" ht="26.25" customHeight="1">
      <c r="A175" s="967" t="s">
        <v>1808</v>
      </c>
      <c r="B175" s="995" t="str">
        <f>'ปร.1(2)'!B29</f>
        <v xml:space="preserve">     • หิน</v>
      </c>
      <c r="C175" s="996">
        <f>'ปร.1(2)'!I29</f>
        <v>4</v>
      </c>
      <c r="D175" s="997" t="str">
        <f>'ปร.1(2)'!J29</f>
        <v>ลบ.ม</v>
      </c>
      <c r="E175" s="998">
        <f>'ปร.1(2)'!K29</f>
        <v>280.37</v>
      </c>
      <c r="F175" s="998">
        <f t="shared" si="63"/>
        <v>1121.48</v>
      </c>
      <c r="G175" s="998">
        <f>'ปร.1(2)'!L29</f>
        <v>0</v>
      </c>
      <c r="H175" s="998">
        <f t="shared" si="64"/>
        <v>0</v>
      </c>
      <c r="I175" s="999">
        <f t="shared" si="65"/>
        <v>1121.48</v>
      </c>
      <c r="J175" s="967"/>
      <c r="L175" s="337"/>
      <c r="M175" s="337"/>
      <c r="N175" s="337"/>
      <c r="O175" s="337"/>
      <c r="P175" s="337"/>
      <c r="Q175" s="337"/>
      <c r="R175" s="337"/>
      <c r="S175" s="337"/>
      <c r="T175" s="337"/>
      <c r="U175" s="337"/>
      <c r="V175" s="337"/>
    </row>
    <row r="176" spans="1:22" s="336" customFormat="1" ht="26.25" customHeight="1">
      <c r="A176" s="967" t="s">
        <v>1806</v>
      </c>
      <c r="B176" s="995" t="str">
        <f>'ปร.1(2)'!B30</f>
        <v xml:space="preserve">     • เหล็กเส้นกลมผิวเรียบ (RB) ขนาด 9 มม. </v>
      </c>
      <c r="C176" s="996">
        <f>'ปร.1(2)'!I30</f>
        <v>146</v>
      </c>
      <c r="D176" s="997" t="str">
        <f>'ปร.1(2)'!J30</f>
        <v>กก.</v>
      </c>
      <c r="E176" s="998">
        <f>'ปร.1(2)'!K30</f>
        <v>25.09</v>
      </c>
      <c r="F176" s="998">
        <f t="shared" si="63"/>
        <v>3663.14</v>
      </c>
      <c r="G176" s="998">
        <f>'ปร.1(2)'!L30</f>
        <v>4.0999999999999996</v>
      </c>
      <c r="H176" s="998">
        <f t="shared" si="64"/>
        <v>598.59999999999991</v>
      </c>
      <c r="I176" s="999">
        <f t="shared" si="65"/>
        <v>4261.74</v>
      </c>
      <c r="J176" s="967"/>
      <c r="L176" s="337"/>
      <c r="M176" s="337"/>
      <c r="N176" s="337"/>
      <c r="O176" s="337"/>
      <c r="P176" s="337"/>
      <c r="Q176" s="337"/>
      <c r="R176" s="337"/>
      <c r="S176" s="337"/>
      <c r="T176" s="337"/>
      <c r="U176" s="337"/>
      <c r="V176" s="337"/>
    </row>
    <row r="177" spans="1:22" s="336" customFormat="1" ht="26.25" customHeight="1">
      <c r="A177" s="967" t="s">
        <v>1809</v>
      </c>
      <c r="B177" s="995" t="str">
        <f>'ปร.1(2)'!B31</f>
        <v xml:space="preserve">     • ไม้แบบหล่อคอนกรีต</v>
      </c>
      <c r="C177" s="996">
        <f>'ปร.1(2)'!I31</f>
        <v>8</v>
      </c>
      <c r="D177" s="997" t="str">
        <f>'ปร.1(2)'!J31</f>
        <v>ตร.ม</v>
      </c>
      <c r="E177" s="998">
        <f>'ปร.1(2)'!K31</f>
        <v>400</v>
      </c>
      <c r="F177" s="998">
        <f t="shared" si="63"/>
        <v>3200</v>
      </c>
      <c r="G177" s="998">
        <f>'ปร.1(2)'!L31</f>
        <v>133</v>
      </c>
      <c r="H177" s="998">
        <f t="shared" si="64"/>
        <v>1064</v>
      </c>
      <c r="I177" s="999">
        <f t="shared" si="65"/>
        <v>4264</v>
      </c>
      <c r="J177" s="967"/>
      <c r="L177" s="337"/>
      <c r="M177" s="337"/>
      <c r="N177" s="337"/>
      <c r="O177" s="337"/>
      <c r="P177" s="337"/>
      <c r="Q177" s="337"/>
      <c r="R177" s="337"/>
      <c r="S177" s="337"/>
      <c r="T177" s="337"/>
      <c r="U177" s="337"/>
      <c r="V177" s="337"/>
    </row>
    <row r="178" spans="1:22" s="336" customFormat="1" ht="26.25" customHeight="1">
      <c r="A178" s="984"/>
      <c r="B178" s="551" t="s">
        <v>1293</v>
      </c>
      <c r="C178" s="716"/>
      <c r="D178" s="1001"/>
      <c r="E178" s="1002"/>
      <c r="F178" s="1002"/>
      <c r="G178" s="1002"/>
      <c r="H178" s="1002"/>
      <c r="I178" s="886">
        <f>SUM(I155:I177)</f>
        <v>447648.01999999996</v>
      </c>
      <c r="J178" s="984"/>
      <c r="L178" s="337"/>
      <c r="M178" s="337"/>
      <c r="N178" s="337"/>
      <c r="O178" s="337"/>
      <c r="P178" s="337"/>
      <c r="Q178" s="337"/>
      <c r="R178" s="337"/>
      <c r="S178" s="337"/>
      <c r="T178" s="337"/>
      <c r="U178" s="337"/>
      <c r="V178" s="337"/>
    </row>
    <row r="179" spans="1:22" s="336" customFormat="1" ht="26.25" customHeight="1">
      <c r="A179" s="930" t="s">
        <v>330</v>
      </c>
      <c r="B179" s="1003" t="s">
        <v>39</v>
      </c>
      <c r="C179" s="887"/>
      <c r="D179" s="919"/>
      <c r="E179" s="683"/>
      <c r="F179" s="683"/>
      <c r="G179" s="683"/>
      <c r="H179" s="683"/>
      <c r="I179" s="683"/>
      <c r="J179" s="919"/>
      <c r="O179" s="337"/>
      <c r="P179" s="337"/>
      <c r="Q179" s="337"/>
      <c r="R179" s="337"/>
      <c r="S179" s="337"/>
    </row>
    <row r="180" spans="1:22" s="336" customFormat="1" ht="26.25" customHeight="1">
      <c r="A180" s="922" t="s">
        <v>1810</v>
      </c>
      <c r="B180" s="921" t="s">
        <v>603</v>
      </c>
      <c r="C180" s="865">
        <f>'ปร1(1)'!AD47</f>
        <v>1651</v>
      </c>
      <c r="D180" s="436" t="s">
        <v>6</v>
      </c>
      <c r="E180" s="908">
        <v>35</v>
      </c>
      <c r="F180" s="833">
        <f>+E180*C180</f>
        <v>57785</v>
      </c>
      <c r="G180" s="908">
        <v>30</v>
      </c>
      <c r="H180" s="833">
        <f>+G180*C180</f>
        <v>49530</v>
      </c>
      <c r="I180" s="867">
        <f>+H180+F180</f>
        <v>107315</v>
      </c>
      <c r="J180" s="922"/>
      <c r="O180" s="337"/>
      <c r="P180" s="337"/>
      <c r="Q180" s="337"/>
      <c r="R180" s="337"/>
    </row>
    <row r="181" spans="1:22" s="336" customFormat="1" ht="26.25" customHeight="1">
      <c r="A181" s="922" t="s">
        <v>1811</v>
      </c>
      <c r="B181" s="921" t="s">
        <v>604</v>
      </c>
      <c r="C181" s="865">
        <f>'ปร1(1)'!AE47</f>
        <v>3261</v>
      </c>
      <c r="D181" s="436" t="s">
        <v>6</v>
      </c>
      <c r="E181" s="908">
        <v>44</v>
      </c>
      <c r="F181" s="833">
        <f>+E181*C181</f>
        <v>143484</v>
      </c>
      <c r="G181" s="908">
        <v>34</v>
      </c>
      <c r="H181" s="833">
        <f>+G181*C181</f>
        <v>110874</v>
      </c>
      <c r="I181" s="867">
        <f>+H181+F181</f>
        <v>254358</v>
      </c>
      <c r="J181" s="922"/>
      <c r="O181" s="337"/>
      <c r="P181" s="337"/>
      <c r="Q181" s="337"/>
      <c r="R181" s="337"/>
    </row>
    <row r="182" spans="1:22" s="336" customFormat="1" ht="26.25" customHeight="1">
      <c r="A182" s="922" t="s">
        <v>1812</v>
      </c>
      <c r="B182" s="921" t="s">
        <v>99</v>
      </c>
      <c r="C182" s="865">
        <f>'ปร1(1)'!AF47</f>
        <v>2144</v>
      </c>
      <c r="D182" s="436" t="s">
        <v>6</v>
      </c>
      <c r="E182" s="908">
        <v>33</v>
      </c>
      <c r="F182" s="833">
        <f>+E182*C182</f>
        <v>70752</v>
      </c>
      <c r="G182" s="908">
        <v>30</v>
      </c>
      <c r="H182" s="833">
        <f>+G182*C182</f>
        <v>64320</v>
      </c>
      <c r="I182" s="867">
        <f>+H182+F182</f>
        <v>135072</v>
      </c>
      <c r="J182" s="922"/>
      <c r="O182" s="337"/>
      <c r="P182" s="337"/>
      <c r="Q182" s="337"/>
    </row>
    <row r="183" spans="1:22" s="222" customFormat="1">
      <c r="A183" s="922" t="s">
        <v>1813</v>
      </c>
      <c r="B183" s="1004" t="s">
        <v>398</v>
      </c>
      <c r="C183" s="872">
        <f>'ปร1(1)'!AG47</f>
        <v>637</v>
      </c>
      <c r="D183" s="905" t="s">
        <v>6</v>
      </c>
      <c r="E183" s="872">
        <v>140</v>
      </c>
      <c r="F183" s="872">
        <f t="shared" ref="F183" si="66">E183*C183</f>
        <v>89180</v>
      </c>
      <c r="G183" s="872">
        <v>35</v>
      </c>
      <c r="H183" s="873">
        <f t="shared" ref="H183" si="67">G183*C183</f>
        <v>22295</v>
      </c>
      <c r="I183" s="873">
        <f t="shared" ref="I183" si="68">H183+F183</f>
        <v>111475</v>
      </c>
      <c r="J183" s="922"/>
      <c r="O183" s="337"/>
      <c r="P183" s="337"/>
      <c r="Q183" s="337"/>
      <c r="R183" s="336"/>
      <c r="S183" s="336"/>
    </row>
    <row r="184" spans="1:22" s="222" customFormat="1">
      <c r="A184" s="552"/>
      <c r="B184" s="1005" t="s">
        <v>1294</v>
      </c>
      <c r="C184" s="915"/>
      <c r="D184" s="552"/>
      <c r="E184" s="915"/>
      <c r="F184" s="915"/>
      <c r="G184" s="915"/>
      <c r="H184" s="952"/>
      <c r="I184" s="1006">
        <f>SUM(I180:I183)</f>
        <v>608220</v>
      </c>
      <c r="J184" s="929"/>
      <c r="O184" s="337"/>
      <c r="P184" s="337"/>
      <c r="Q184" s="337"/>
      <c r="R184" s="336"/>
      <c r="S184" s="336"/>
    </row>
    <row r="185" spans="1:22" s="222" customFormat="1">
      <c r="A185" s="930" t="s">
        <v>334</v>
      </c>
      <c r="B185" s="931" t="s">
        <v>406</v>
      </c>
      <c r="C185" s="1007"/>
      <c r="D185" s="529"/>
      <c r="E185" s="1007"/>
      <c r="F185" s="1007"/>
      <c r="G185" s="1007"/>
      <c r="H185" s="1007"/>
      <c r="I185" s="1007"/>
      <c r="J185" s="919"/>
      <c r="O185" s="336"/>
      <c r="P185" s="336"/>
      <c r="Q185" s="336"/>
      <c r="R185" s="336"/>
    </row>
    <row r="186" spans="1:22" s="222" customFormat="1">
      <c r="A186" s="890" t="s">
        <v>407</v>
      </c>
      <c r="B186" s="1008" t="s">
        <v>404</v>
      </c>
      <c r="C186" s="872"/>
      <c r="D186" s="905"/>
      <c r="E186" s="872"/>
      <c r="F186" s="872"/>
      <c r="G186" s="872"/>
      <c r="H186" s="872"/>
      <c r="I186" s="872"/>
      <c r="J186" s="922"/>
      <c r="O186" s="336"/>
      <c r="P186" s="336"/>
      <c r="Q186" s="336"/>
      <c r="R186" s="336"/>
    </row>
    <row r="187" spans="1:22" s="7" customFormat="1">
      <c r="A187" s="667" t="s">
        <v>1814</v>
      </c>
      <c r="B187" s="1009" t="s">
        <v>1066</v>
      </c>
      <c r="C187" s="891">
        <f>'ปร1(1)'!AH47</f>
        <v>383</v>
      </c>
      <c r="D187" s="892" t="s">
        <v>278</v>
      </c>
      <c r="E187" s="891">
        <v>290</v>
      </c>
      <c r="F187" s="872">
        <f t="shared" ref="F187:F190" si="69">E187*C187</f>
        <v>111070</v>
      </c>
      <c r="G187" s="891">
        <v>70</v>
      </c>
      <c r="H187" s="873">
        <f t="shared" ref="H187:H190" si="70">G187*C187</f>
        <v>26810</v>
      </c>
      <c r="I187" s="873">
        <f t="shared" ref="I187:I190" si="71">H187+F187</f>
        <v>137880</v>
      </c>
      <c r="J187" s="869"/>
      <c r="O187" s="336"/>
      <c r="P187" s="336"/>
      <c r="Q187" s="336"/>
      <c r="R187" s="222"/>
      <c r="S187" s="222"/>
    </row>
    <row r="188" spans="1:22" s="7" customFormat="1">
      <c r="A188" s="667" t="s">
        <v>1815</v>
      </c>
      <c r="B188" s="1009" t="s">
        <v>1060</v>
      </c>
      <c r="C188" s="891">
        <f>'ปร1(1)'!AI47</f>
        <v>383</v>
      </c>
      <c r="D188" s="892" t="s">
        <v>278</v>
      </c>
      <c r="E188" s="891">
        <v>280</v>
      </c>
      <c r="F188" s="872">
        <f t="shared" si="69"/>
        <v>107240</v>
      </c>
      <c r="G188" s="891">
        <v>25</v>
      </c>
      <c r="H188" s="873">
        <f t="shared" si="70"/>
        <v>9575</v>
      </c>
      <c r="I188" s="873">
        <f t="shared" si="71"/>
        <v>116815</v>
      </c>
      <c r="J188" s="874"/>
      <c r="O188" s="336"/>
      <c r="P188" s="336"/>
      <c r="Q188" s="336"/>
      <c r="R188" s="222"/>
    </row>
    <row r="189" spans="1:22" s="7" customFormat="1">
      <c r="A189" s="667" t="s">
        <v>1816</v>
      </c>
      <c r="B189" s="1009" t="s">
        <v>405</v>
      </c>
      <c r="C189" s="891">
        <f>'ปร1(1)'!AJ47</f>
        <v>65</v>
      </c>
      <c r="D189" s="892" t="s">
        <v>8</v>
      </c>
      <c r="E189" s="891">
        <v>260</v>
      </c>
      <c r="F189" s="872">
        <f t="shared" si="69"/>
        <v>16900</v>
      </c>
      <c r="G189" s="891">
        <v>50</v>
      </c>
      <c r="H189" s="873">
        <f t="shared" si="70"/>
        <v>3250</v>
      </c>
      <c r="I189" s="873">
        <f t="shared" si="71"/>
        <v>20150</v>
      </c>
      <c r="J189" s="874"/>
      <c r="O189" s="222"/>
      <c r="P189" s="222"/>
      <c r="Q189" s="222"/>
      <c r="R189" s="222"/>
    </row>
    <row r="190" spans="1:22" s="7" customFormat="1">
      <c r="A190" s="667" t="s">
        <v>1817</v>
      </c>
      <c r="B190" s="1009" t="s">
        <v>607</v>
      </c>
      <c r="C190" s="891">
        <f>'ปร1(1)'!AK47</f>
        <v>36</v>
      </c>
      <c r="D190" s="892" t="s">
        <v>8</v>
      </c>
      <c r="E190" s="891">
        <v>1300</v>
      </c>
      <c r="F190" s="872">
        <f t="shared" si="69"/>
        <v>46800</v>
      </c>
      <c r="G190" s="891">
        <v>50</v>
      </c>
      <c r="H190" s="873">
        <f t="shared" si="70"/>
        <v>1800</v>
      </c>
      <c r="I190" s="873">
        <f t="shared" si="71"/>
        <v>48600</v>
      </c>
      <c r="J190" s="874"/>
      <c r="O190" s="222"/>
      <c r="P190" s="222"/>
      <c r="Q190" s="222"/>
    </row>
    <row r="191" spans="1:22" s="7" customFormat="1">
      <c r="A191" s="913"/>
      <c r="B191" s="1010" t="s">
        <v>1295</v>
      </c>
      <c r="C191" s="1011"/>
      <c r="D191" s="1012"/>
      <c r="E191" s="1011"/>
      <c r="F191" s="915"/>
      <c r="G191" s="1011"/>
      <c r="H191" s="952"/>
      <c r="I191" s="1006">
        <f>SUM(I187:I190)</f>
        <v>323445</v>
      </c>
      <c r="J191" s="1013"/>
      <c r="O191" s="222"/>
      <c r="P191" s="222"/>
      <c r="Q191" s="222"/>
    </row>
    <row r="192" spans="1:22" s="7" customFormat="1">
      <c r="A192" s="918" t="s">
        <v>1217</v>
      </c>
      <c r="B192" s="755" t="s">
        <v>1218</v>
      </c>
      <c r="C192" s="1014"/>
      <c r="D192" s="863"/>
      <c r="E192" s="1015"/>
      <c r="F192" s="1015"/>
      <c r="G192" s="1015"/>
      <c r="H192" s="1016"/>
      <c r="I192" s="1016"/>
      <c r="J192" s="1017"/>
      <c r="O192" s="222"/>
      <c r="P192" s="222"/>
      <c r="Q192" s="222"/>
    </row>
    <row r="193" spans="1:22" s="7" customFormat="1">
      <c r="A193" s="890" t="s">
        <v>1818</v>
      </c>
      <c r="B193" s="868" t="s">
        <v>1228</v>
      </c>
      <c r="C193" s="1018">
        <v>1</v>
      </c>
      <c r="D193" s="436" t="s">
        <v>37</v>
      </c>
      <c r="E193" s="1019">
        <v>15000</v>
      </c>
      <c r="F193" s="1019">
        <f>E193*C193</f>
        <v>15000</v>
      </c>
      <c r="G193" s="1019">
        <f>E193*0.2</f>
        <v>3000</v>
      </c>
      <c r="H193" s="1019">
        <f>G193*C193</f>
        <v>3000</v>
      </c>
      <c r="I193" s="1019">
        <f>H193+F193</f>
        <v>18000</v>
      </c>
      <c r="J193" s="874"/>
      <c r="O193" s="222"/>
      <c r="P193" s="222"/>
      <c r="Q193" s="222"/>
    </row>
    <row r="194" spans="1:22" s="7" customFormat="1">
      <c r="A194" s="890" t="s">
        <v>1819</v>
      </c>
      <c r="B194" s="868" t="s">
        <v>1227</v>
      </c>
      <c r="C194" s="1018">
        <v>1</v>
      </c>
      <c r="D194" s="436" t="s">
        <v>37</v>
      </c>
      <c r="E194" s="1019">
        <v>12000</v>
      </c>
      <c r="F194" s="1019">
        <f>E194*C194</f>
        <v>12000</v>
      </c>
      <c r="G194" s="1019">
        <f>E194*0.2</f>
        <v>2400</v>
      </c>
      <c r="H194" s="1019">
        <f>G194*C194</f>
        <v>2400</v>
      </c>
      <c r="I194" s="1019">
        <f>H194+F194</f>
        <v>14400</v>
      </c>
      <c r="J194" s="874"/>
      <c r="O194" s="222"/>
      <c r="P194" s="222"/>
      <c r="Q194" s="222"/>
    </row>
    <row r="195" spans="1:22" ht="26.25" customHeight="1">
      <c r="A195" s="641"/>
      <c r="B195" s="551" t="s">
        <v>1296</v>
      </c>
      <c r="C195" s="636"/>
      <c r="D195" s="641"/>
      <c r="E195" s="917"/>
      <c r="F195" s="917"/>
      <c r="G195" s="917"/>
      <c r="H195" s="917"/>
      <c r="I195" s="886">
        <f>SUM(I193:I194)</f>
        <v>32400</v>
      </c>
      <c r="J195" s="553"/>
      <c r="L195" s="6"/>
      <c r="M195" s="6"/>
      <c r="N195" s="6"/>
      <c r="O195" s="7"/>
      <c r="P195" s="7"/>
      <c r="Q195" s="7"/>
      <c r="R195" s="222"/>
      <c r="S195" s="337"/>
      <c r="T195" s="6"/>
      <c r="U195" s="6"/>
      <c r="V195" s="6"/>
    </row>
    <row r="196" spans="1:22" ht="26.25" customHeight="1">
      <c r="A196" s="1282"/>
      <c r="B196" s="1283" t="s">
        <v>113</v>
      </c>
      <c r="C196" s="1284"/>
      <c r="D196" s="1282"/>
      <c r="E196" s="1285"/>
      <c r="F196" s="1285"/>
      <c r="G196" s="1285"/>
      <c r="H196" s="1285"/>
      <c r="I196" s="1285">
        <f>I29+I45+I51+I116+I153+I178+I184+I191+I195</f>
        <v>7367233.3999999994</v>
      </c>
      <c r="J196" s="500"/>
      <c r="L196" s="6"/>
      <c r="M196" s="6"/>
      <c r="N196" s="6"/>
      <c r="O196" s="7"/>
      <c r="P196" s="7"/>
      <c r="Q196" s="7"/>
      <c r="R196" s="222"/>
      <c r="S196" s="6"/>
      <c r="T196" s="6"/>
      <c r="U196" s="6"/>
      <c r="V196" s="6"/>
    </row>
    <row r="197" spans="1:22" ht="26.25" customHeight="1">
      <c r="A197" s="747"/>
      <c r="B197" s="458"/>
      <c r="C197" s="865"/>
      <c r="D197" s="436"/>
      <c r="E197" s="1020"/>
      <c r="F197" s="1020"/>
      <c r="G197" s="1020"/>
      <c r="H197" s="1020"/>
      <c r="I197" s="1020"/>
      <c r="J197" s="750"/>
      <c r="L197" s="6"/>
      <c r="M197" s="6"/>
      <c r="N197" s="6"/>
      <c r="O197" s="222"/>
      <c r="P197" s="222"/>
      <c r="Q197" s="222"/>
      <c r="R197" s="337"/>
      <c r="S197" s="6"/>
      <c r="T197" s="6"/>
      <c r="U197" s="6"/>
      <c r="V197" s="6"/>
    </row>
    <row r="198" spans="1:22" ht="26.25" customHeight="1">
      <c r="A198" s="751">
        <v>3.2</v>
      </c>
      <c r="B198" s="751" t="s">
        <v>101</v>
      </c>
      <c r="C198" s="1272"/>
      <c r="D198" s="752"/>
      <c r="E198" s="1286"/>
      <c r="F198" s="1286"/>
      <c r="G198" s="1286"/>
      <c r="H198" s="1286"/>
      <c r="I198" s="1286"/>
      <c r="J198" s="753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26.25" customHeight="1">
      <c r="A199" s="528" t="s">
        <v>116</v>
      </c>
      <c r="B199" s="755" t="s">
        <v>1251</v>
      </c>
      <c r="C199" s="887"/>
      <c r="D199" s="529"/>
      <c r="E199" s="1022"/>
      <c r="F199" s="683"/>
      <c r="G199" s="1021"/>
      <c r="H199" s="1022"/>
      <c r="I199" s="683"/>
      <c r="J199" s="530"/>
      <c r="O199" s="6"/>
      <c r="P199" s="6"/>
      <c r="Q199" s="6"/>
      <c r="R199" s="6"/>
      <c r="S199" s="6"/>
    </row>
    <row r="200" spans="1:22" ht="26.25" customHeight="1">
      <c r="A200" s="888" t="s">
        <v>1252</v>
      </c>
      <c r="B200" s="904" t="s">
        <v>1259</v>
      </c>
      <c r="C200" s="618"/>
      <c r="D200" s="934"/>
      <c r="E200" s="1024"/>
      <c r="F200" s="764"/>
      <c r="G200" s="1023"/>
      <c r="H200" s="1024"/>
      <c r="I200" s="764"/>
      <c r="J200" s="1025"/>
      <c r="O200" s="6"/>
      <c r="P200" s="6"/>
      <c r="Q200" s="6"/>
      <c r="R200" s="6"/>
      <c r="S200" s="6"/>
    </row>
    <row r="201" spans="1:22" ht="26.25" customHeight="1">
      <c r="A201" s="436" t="s">
        <v>1820</v>
      </c>
      <c r="B201" s="1026" t="s">
        <v>1249</v>
      </c>
      <c r="C201" s="833">
        <f>ROUNDUP((8.75*(40-18)+3.95*(16)+3.4*(18))*(12.13),0)</f>
        <v>3844</v>
      </c>
      <c r="D201" s="436" t="s">
        <v>85</v>
      </c>
      <c r="E201" s="879">
        <f>3553/72.77</f>
        <v>48.825065274151441</v>
      </c>
      <c r="F201" s="879">
        <f>E201*C201</f>
        <v>187683.55091383815</v>
      </c>
      <c r="G201" s="879">
        <v>10</v>
      </c>
      <c r="H201" s="879">
        <f>G201*C201</f>
        <v>38440</v>
      </c>
      <c r="I201" s="867">
        <f>H201+F201</f>
        <v>226123.55091383815</v>
      </c>
      <c r="J201" s="458"/>
      <c r="O201" s="6"/>
      <c r="P201" s="6"/>
      <c r="Q201" s="6"/>
      <c r="R201" s="6"/>
    </row>
    <row r="202" spans="1:22" s="7" customFormat="1">
      <c r="A202" s="436" t="s">
        <v>1821</v>
      </c>
      <c r="B202" s="868" t="s">
        <v>1172</v>
      </c>
      <c r="C202" s="893">
        <f>ROUNDUP((0.2*2+0.1*2)*C201/12.13,0)</f>
        <v>191</v>
      </c>
      <c r="D202" s="1145" t="s">
        <v>6</v>
      </c>
      <c r="E202" s="893">
        <v>58</v>
      </c>
      <c r="F202" s="872">
        <f t="shared" ref="F202:F203" si="72">E202*C202</f>
        <v>11078</v>
      </c>
      <c r="G202" s="893">
        <v>35</v>
      </c>
      <c r="H202" s="873">
        <f t="shared" ref="H202:H203" si="73">G202*C202</f>
        <v>6685</v>
      </c>
      <c r="I202" s="873">
        <f t="shared" ref="I202:I203" si="74">H202+F202</f>
        <v>17763</v>
      </c>
      <c r="J202" s="922"/>
    </row>
    <row r="203" spans="1:22" ht="26.25" customHeight="1">
      <c r="A203" s="436" t="s">
        <v>1822</v>
      </c>
      <c r="B203" s="458" t="s">
        <v>1248</v>
      </c>
      <c r="C203" s="586">
        <v>1</v>
      </c>
      <c r="D203" s="436" t="s">
        <v>43</v>
      </c>
      <c r="E203" s="1027">
        <f>SUM(F201:F202)*30%</f>
        <v>59628.465274151444</v>
      </c>
      <c r="F203" s="1027">
        <f t="shared" si="72"/>
        <v>59628.465274151444</v>
      </c>
      <c r="G203" s="1027">
        <f>E203*0.3</f>
        <v>17888.539582245434</v>
      </c>
      <c r="H203" s="1027">
        <f t="shared" si="73"/>
        <v>17888.539582245434</v>
      </c>
      <c r="I203" s="1027">
        <f t="shared" si="74"/>
        <v>77517.004856396874</v>
      </c>
      <c r="J203" s="1028"/>
      <c r="O203" s="6"/>
      <c r="P203" s="6"/>
      <c r="Q203" s="6"/>
      <c r="R203" s="6"/>
    </row>
    <row r="204" spans="1:22" ht="26.25" customHeight="1">
      <c r="A204" s="641"/>
      <c r="B204" s="551" t="s">
        <v>1297</v>
      </c>
      <c r="C204" s="1029"/>
      <c r="D204" s="641"/>
      <c r="E204" s="1030"/>
      <c r="F204" s="1030"/>
      <c r="G204" s="1030"/>
      <c r="H204" s="1030"/>
      <c r="I204" s="1031">
        <f>SUM(I201:I203)</f>
        <v>321403.55577023502</v>
      </c>
      <c r="J204" s="1032"/>
      <c r="O204" s="6"/>
      <c r="P204" s="6"/>
      <c r="Q204" s="6"/>
      <c r="R204" s="6"/>
    </row>
    <row r="205" spans="1:22" ht="26.25" customHeight="1">
      <c r="A205" s="528" t="s">
        <v>335</v>
      </c>
      <c r="B205" s="755" t="s">
        <v>1061</v>
      </c>
      <c r="C205" s="887"/>
      <c r="D205" s="529"/>
      <c r="E205" s="683"/>
      <c r="F205" s="683"/>
      <c r="G205" s="1021"/>
      <c r="H205" s="1022"/>
      <c r="I205" s="683"/>
      <c r="J205" s="1033"/>
      <c r="O205" s="6"/>
      <c r="P205" s="6"/>
      <c r="Q205" s="6"/>
    </row>
    <row r="206" spans="1:22" ht="26.25" customHeight="1">
      <c r="A206" s="888" t="s">
        <v>1253</v>
      </c>
      <c r="B206" s="904" t="s">
        <v>1259</v>
      </c>
      <c r="C206" s="618"/>
      <c r="D206" s="934"/>
      <c r="E206" s="764"/>
      <c r="F206" s="764"/>
      <c r="G206" s="1023"/>
      <c r="H206" s="1024"/>
      <c r="I206" s="764"/>
      <c r="J206" s="1034"/>
      <c r="O206" s="6"/>
      <c r="P206" s="6"/>
      <c r="Q206" s="6"/>
    </row>
    <row r="207" spans="1:22" ht="26.25" customHeight="1">
      <c r="A207" s="436" t="s">
        <v>1823</v>
      </c>
      <c r="B207" s="1026" t="s">
        <v>1249</v>
      </c>
      <c r="C207" s="833">
        <f>ROUNDUP((8.75*9)*(12.13),0)</f>
        <v>956</v>
      </c>
      <c r="D207" s="436" t="s">
        <v>85</v>
      </c>
      <c r="E207" s="879">
        <f>3553/72.77</f>
        <v>48.825065274151441</v>
      </c>
      <c r="F207" s="879">
        <f>E207*C207</f>
        <v>46676.762402088782</v>
      </c>
      <c r="G207" s="879">
        <v>10</v>
      </c>
      <c r="H207" s="879">
        <f>G207*C207</f>
        <v>9560</v>
      </c>
      <c r="I207" s="867">
        <f>H207+F207</f>
        <v>56236.762402088782</v>
      </c>
      <c r="J207" s="458"/>
      <c r="O207" s="6"/>
      <c r="P207" s="6"/>
      <c r="Q207" s="6"/>
      <c r="R207" s="6"/>
    </row>
    <row r="208" spans="1:22" ht="26.25" customHeight="1">
      <c r="A208" s="436" t="s">
        <v>1824</v>
      </c>
      <c r="B208" s="868" t="s">
        <v>1172</v>
      </c>
      <c r="C208" s="893">
        <f>ROUNDUP((0.2*2+0.05*2)*C207/10.05,0)</f>
        <v>48</v>
      </c>
      <c r="D208" s="1145" t="s">
        <v>6</v>
      </c>
      <c r="E208" s="893">
        <v>58</v>
      </c>
      <c r="F208" s="872">
        <f t="shared" ref="F208:F209" si="75">E208*C208</f>
        <v>2784</v>
      </c>
      <c r="G208" s="893">
        <v>35</v>
      </c>
      <c r="H208" s="873">
        <f t="shared" ref="H208:H209" si="76">G208*C208</f>
        <v>1680</v>
      </c>
      <c r="I208" s="873">
        <f t="shared" ref="I208:I209" si="77">H208+F208</f>
        <v>4464</v>
      </c>
      <c r="J208" s="458"/>
      <c r="O208" s="6"/>
      <c r="P208" s="6"/>
      <c r="Q208" s="6"/>
      <c r="R208" s="6"/>
    </row>
    <row r="209" spans="1:40" ht="26.25" customHeight="1">
      <c r="A209" s="436" t="s">
        <v>1825</v>
      </c>
      <c r="B209" s="458" t="s">
        <v>1248</v>
      </c>
      <c r="C209" s="586">
        <v>1</v>
      </c>
      <c r="D209" s="436" t="s">
        <v>43</v>
      </c>
      <c r="E209" s="1027">
        <f>SUM(F207:F207)*30%</f>
        <v>14003.028720626635</v>
      </c>
      <c r="F209" s="1027">
        <f t="shared" si="75"/>
        <v>14003.028720626635</v>
      </c>
      <c r="G209" s="1027">
        <f>E209*0.3</f>
        <v>4200.9086161879904</v>
      </c>
      <c r="H209" s="1027">
        <f t="shared" si="76"/>
        <v>4200.9086161879904</v>
      </c>
      <c r="I209" s="1027">
        <f t="shared" si="77"/>
        <v>18203.937336814626</v>
      </c>
      <c r="J209" s="458"/>
      <c r="O209" s="6"/>
      <c r="P209" s="6"/>
      <c r="Q209" s="6"/>
      <c r="R209" s="6"/>
    </row>
    <row r="210" spans="1:40" ht="26.25" customHeight="1">
      <c r="A210" s="888" t="s">
        <v>1254</v>
      </c>
      <c r="B210" s="904" t="s">
        <v>1260</v>
      </c>
      <c r="C210" s="618"/>
      <c r="D210" s="765"/>
      <c r="E210" s="1024"/>
      <c r="F210" s="1024"/>
      <c r="G210" s="1024"/>
      <c r="H210" s="1024"/>
      <c r="I210" s="764"/>
      <c r="J210" s="1025"/>
      <c r="O210" s="6"/>
      <c r="P210" s="6"/>
      <c r="Q210" s="6"/>
      <c r="R210" s="6"/>
    </row>
    <row r="211" spans="1:40" ht="26.25" customHeight="1">
      <c r="A211" s="436" t="s">
        <v>1826</v>
      </c>
      <c r="B211" s="1026" t="s">
        <v>1250</v>
      </c>
      <c r="C211" s="833">
        <f>ROUNDUP((8.75*86)*(10.05),0)</f>
        <v>7563</v>
      </c>
      <c r="D211" s="436" t="s">
        <v>85</v>
      </c>
      <c r="E211" s="879">
        <f>3553/72.77</f>
        <v>48.825065274151441</v>
      </c>
      <c r="F211" s="879">
        <f>E211*C211</f>
        <v>369263.96866840735</v>
      </c>
      <c r="G211" s="879">
        <v>10</v>
      </c>
      <c r="H211" s="879">
        <f>G211*C211</f>
        <v>75630</v>
      </c>
      <c r="I211" s="867">
        <f>H211+F211</f>
        <v>444893.96866840735</v>
      </c>
      <c r="J211" s="458"/>
      <c r="O211" s="6"/>
      <c r="P211" s="6"/>
      <c r="Q211" s="6"/>
      <c r="R211" s="6"/>
    </row>
    <row r="212" spans="1:40" s="7" customFormat="1">
      <c r="A212" s="436" t="s">
        <v>1827</v>
      </c>
      <c r="B212" s="868" t="s">
        <v>1172</v>
      </c>
      <c r="C212" s="893">
        <f>ROUNDUP((0.2*2+0.05*2)*C211/10.05,0)</f>
        <v>377</v>
      </c>
      <c r="D212" s="1145" t="s">
        <v>6</v>
      </c>
      <c r="E212" s="893">
        <v>58</v>
      </c>
      <c r="F212" s="872">
        <f t="shared" ref="F212:F213" si="78">E212*C212</f>
        <v>21866</v>
      </c>
      <c r="G212" s="893">
        <v>35</v>
      </c>
      <c r="H212" s="873">
        <f t="shared" ref="H212:H213" si="79">G212*C212</f>
        <v>13195</v>
      </c>
      <c r="I212" s="873">
        <f t="shared" ref="I212:I213" si="80">H212+F212</f>
        <v>35061</v>
      </c>
      <c r="J212" s="922"/>
    </row>
    <row r="213" spans="1:40" ht="26.25" customHeight="1">
      <c r="A213" s="436" t="s">
        <v>1828</v>
      </c>
      <c r="B213" s="458" t="s">
        <v>1248</v>
      </c>
      <c r="C213" s="586">
        <v>1</v>
      </c>
      <c r="D213" s="436" t="s">
        <v>43</v>
      </c>
      <c r="E213" s="1027">
        <f>SUM(F211:F212)*30%</f>
        <v>117338.9906005222</v>
      </c>
      <c r="F213" s="1027">
        <f t="shared" si="78"/>
        <v>117338.9906005222</v>
      </c>
      <c r="G213" s="1027">
        <f>E213*0.3</f>
        <v>35201.697180156661</v>
      </c>
      <c r="H213" s="1027">
        <f t="shared" si="79"/>
        <v>35201.697180156661</v>
      </c>
      <c r="I213" s="1027">
        <f t="shared" si="80"/>
        <v>152540.68778067885</v>
      </c>
      <c r="J213" s="458"/>
    </row>
    <row r="214" spans="1:40" ht="26.25" customHeight="1">
      <c r="A214" s="641"/>
      <c r="B214" s="551" t="s">
        <v>1298</v>
      </c>
      <c r="C214" s="1029"/>
      <c r="D214" s="641"/>
      <c r="E214" s="1030"/>
      <c r="F214" s="1030"/>
      <c r="G214" s="1030"/>
      <c r="H214" s="1030"/>
      <c r="I214" s="1031">
        <f>SUM(I207:I213)</f>
        <v>711400.35618798959</v>
      </c>
      <c r="J214" s="553"/>
    </row>
    <row r="215" spans="1:40" ht="26.25" customHeight="1">
      <c r="A215" s="528" t="s">
        <v>1256</v>
      </c>
      <c r="B215" s="755" t="s">
        <v>1062</v>
      </c>
      <c r="C215" s="887"/>
      <c r="D215" s="529"/>
      <c r="E215" s="683"/>
      <c r="F215" s="683"/>
      <c r="G215" s="1021"/>
      <c r="H215" s="1022"/>
      <c r="I215" s="683"/>
      <c r="J215" s="530"/>
    </row>
    <row r="216" spans="1:40" ht="26.25" customHeight="1">
      <c r="A216" s="888" t="s">
        <v>1257</v>
      </c>
      <c r="B216" s="904" t="s">
        <v>1259</v>
      </c>
      <c r="C216" s="618"/>
      <c r="D216" s="934"/>
      <c r="E216" s="764"/>
      <c r="F216" s="764"/>
      <c r="G216" s="1023"/>
      <c r="H216" s="1024"/>
      <c r="I216" s="764"/>
      <c r="J216" s="1025"/>
    </row>
    <row r="217" spans="1:40" ht="26.25" customHeight="1">
      <c r="A217" s="436" t="s">
        <v>1829</v>
      </c>
      <c r="B217" s="1026" t="s">
        <v>1249</v>
      </c>
      <c r="C217" s="833">
        <f>ROUNDUP((5.65*42)*(12.13),0)</f>
        <v>2879</v>
      </c>
      <c r="D217" s="436" t="s">
        <v>85</v>
      </c>
      <c r="E217" s="879">
        <f>3553/72.77</f>
        <v>48.825065274151441</v>
      </c>
      <c r="F217" s="879">
        <f>E217*C217</f>
        <v>140567.362924282</v>
      </c>
      <c r="G217" s="879">
        <v>10</v>
      </c>
      <c r="H217" s="879">
        <f>G217*C217</f>
        <v>28790</v>
      </c>
      <c r="I217" s="867">
        <f>H217+F217</f>
        <v>169357.362924282</v>
      </c>
      <c r="J217" s="458"/>
      <c r="O217" s="6"/>
      <c r="P217" s="6"/>
      <c r="Q217" s="6"/>
      <c r="R217" s="6"/>
    </row>
    <row r="218" spans="1:40" s="7" customFormat="1">
      <c r="A218" s="436" t="s">
        <v>1830</v>
      </c>
      <c r="B218" s="868" t="s">
        <v>1172</v>
      </c>
      <c r="C218" s="893">
        <f>ROUNDUP((0.2*2+0.1*2)*C217/12.13,0)</f>
        <v>143</v>
      </c>
      <c r="D218" s="1145" t="s">
        <v>6</v>
      </c>
      <c r="E218" s="893">
        <v>58</v>
      </c>
      <c r="F218" s="872">
        <f t="shared" ref="F218:F219" si="81">E218*C218</f>
        <v>8294</v>
      </c>
      <c r="G218" s="893">
        <v>35</v>
      </c>
      <c r="H218" s="873">
        <f t="shared" ref="H218:H219" si="82">G218*C218</f>
        <v>5005</v>
      </c>
      <c r="I218" s="873">
        <f t="shared" ref="I218:I219" si="83">H218+F218</f>
        <v>13299</v>
      </c>
      <c r="J218" s="922"/>
    </row>
    <row r="219" spans="1:40" ht="26.25" customHeight="1">
      <c r="A219" s="436" t="s">
        <v>1831</v>
      </c>
      <c r="B219" s="458" t="s">
        <v>1248</v>
      </c>
      <c r="C219" s="586">
        <v>1</v>
      </c>
      <c r="D219" s="436" t="s">
        <v>43</v>
      </c>
      <c r="E219" s="1027">
        <f>SUM(F217:F218)*30%</f>
        <v>44658.408877284601</v>
      </c>
      <c r="F219" s="1027">
        <f t="shared" si="81"/>
        <v>44658.408877284601</v>
      </c>
      <c r="G219" s="1027">
        <f>E219*0.3</f>
        <v>13397.52266318538</v>
      </c>
      <c r="H219" s="1027">
        <f t="shared" si="82"/>
        <v>13397.52266318538</v>
      </c>
      <c r="I219" s="1027">
        <f t="shared" si="83"/>
        <v>58055.931540469981</v>
      </c>
      <c r="J219" s="458"/>
      <c r="K219" s="1" t="s">
        <v>270</v>
      </c>
    </row>
    <row r="220" spans="1:40" ht="26.25" customHeight="1">
      <c r="A220" s="641"/>
      <c r="B220" s="551" t="s">
        <v>1299</v>
      </c>
      <c r="C220" s="1029"/>
      <c r="D220" s="641"/>
      <c r="E220" s="1030"/>
      <c r="F220" s="1030"/>
      <c r="G220" s="1030"/>
      <c r="H220" s="1030"/>
      <c r="I220" s="1031">
        <f>SUM(I217:I219)</f>
        <v>240712.29446475199</v>
      </c>
      <c r="J220" s="553"/>
    </row>
    <row r="221" spans="1:40" ht="26.25" customHeight="1">
      <c r="A221" s="930" t="s">
        <v>551</v>
      </c>
      <c r="B221" s="679" t="s">
        <v>1063</v>
      </c>
      <c r="C221" s="683"/>
      <c r="D221" s="683"/>
      <c r="E221" s="683"/>
      <c r="F221" s="683"/>
      <c r="G221" s="683"/>
      <c r="H221" s="683"/>
      <c r="I221" s="683"/>
      <c r="J221" s="1035"/>
      <c r="K221" s="465">
        <v>3507708</v>
      </c>
      <c r="L221" s="6"/>
      <c r="M221" s="6"/>
      <c r="N221" s="6"/>
      <c r="R221" s="6"/>
      <c r="S221" s="6"/>
      <c r="T221" s="6"/>
      <c r="U221" s="6"/>
      <c r="V221" s="6"/>
    </row>
    <row r="222" spans="1:40" ht="26.25" customHeight="1">
      <c r="A222" s="1036" t="s">
        <v>1255</v>
      </c>
      <c r="B222" s="889" t="s">
        <v>1221</v>
      </c>
      <c r="C222" s="764"/>
      <c r="D222" s="764"/>
      <c r="E222" s="764"/>
      <c r="F222" s="764"/>
      <c r="G222" s="764"/>
      <c r="H222" s="764"/>
      <c r="I222" s="764"/>
      <c r="J222" s="1037"/>
      <c r="L222" s="6"/>
      <c r="M222" s="6"/>
      <c r="N222" s="6"/>
      <c r="R222" s="6"/>
      <c r="S222" s="6"/>
      <c r="T222" s="6"/>
      <c r="U222" s="6"/>
      <c r="V222" s="6"/>
    </row>
    <row r="223" spans="1:40" ht="24" customHeight="1">
      <c r="A223" s="920" t="s">
        <v>1832</v>
      </c>
      <c r="B223" s="458" t="s">
        <v>1222</v>
      </c>
      <c r="C223" s="876">
        <v>1</v>
      </c>
      <c r="D223" s="905" t="s">
        <v>43</v>
      </c>
      <c r="E223" s="1038">
        <f>ROUNDUP((2052*4)*2,0)</f>
        <v>16416</v>
      </c>
      <c r="F223" s="877">
        <f>+E223*C223</f>
        <v>16416</v>
      </c>
      <c r="G223" s="1039">
        <f>E223*0.2</f>
        <v>3283.2000000000003</v>
      </c>
      <c r="H223" s="877">
        <f>+G223*C223</f>
        <v>3283.2000000000003</v>
      </c>
      <c r="I223" s="879">
        <f>+H223+F223</f>
        <v>19699.2</v>
      </c>
      <c r="J223" s="1040"/>
      <c r="L223" s="6"/>
      <c r="M223" s="6"/>
      <c r="N223" s="6"/>
      <c r="R223" s="6"/>
      <c r="S223" s="6"/>
      <c r="T223" s="6"/>
      <c r="U223" s="6"/>
      <c r="V223" s="6"/>
    </row>
    <row r="224" spans="1:40" ht="25.15" customHeight="1">
      <c r="A224" s="1041" t="s">
        <v>1258</v>
      </c>
      <c r="B224" s="904" t="s">
        <v>1056</v>
      </c>
      <c r="C224" s="1042"/>
      <c r="D224" s="934"/>
      <c r="E224" s="1024"/>
      <c r="F224" s="1042"/>
      <c r="G224" s="1024"/>
      <c r="H224" s="1042"/>
      <c r="I224" s="1024"/>
      <c r="J224" s="1043"/>
      <c r="L224" s="6"/>
      <c r="M224" s="6"/>
      <c r="N224" s="6"/>
      <c r="R224" s="6"/>
      <c r="S224" s="6"/>
      <c r="T224" s="6"/>
      <c r="U224" s="6"/>
      <c r="V224" s="6"/>
      <c r="AL224" s="466"/>
      <c r="AM224" s="466"/>
      <c r="AN224" s="466"/>
    </row>
    <row r="225" spans="1:22" ht="25.15" customHeight="1">
      <c r="A225" s="890" t="s">
        <v>1833</v>
      </c>
      <c r="B225" s="1026" t="s">
        <v>765</v>
      </c>
      <c r="C225" s="865">
        <f>ROUNDUP((12*3.85)*3.34,0)</f>
        <v>155</v>
      </c>
      <c r="D225" s="436" t="s">
        <v>85</v>
      </c>
      <c r="E225" s="1020">
        <v>38</v>
      </c>
      <c r="F225" s="833">
        <f t="shared" ref="F225:F230" si="84">+E225*C225</f>
        <v>5890</v>
      </c>
      <c r="G225" s="908">
        <v>10</v>
      </c>
      <c r="H225" s="833">
        <f t="shared" ref="H225:H230" si="85">+G225*C225</f>
        <v>1550</v>
      </c>
      <c r="I225" s="867">
        <f t="shared" ref="I225:I230" si="86">+H225+F225</f>
        <v>7440</v>
      </c>
      <c r="J225" s="922"/>
      <c r="L225" s="6"/>
      <c r="M225" s="6"/>
      <c r="N225" s="6"/>
      <c r="R225" s="6"/>
      <c r="S225" s="6"/>
      <c r="T225" s="6"/>
      <c r="U225" s="6"/>
      <c r="V225" s="6"/>
    </row>
    <row r="226" spans="1:22" ht="25.15" customHeight="1">
      <c r="A226" s="890" t="s">
        <v>1834</v>
      </c>
      <c r="B226" s="1026" t="s">
        <v>1246</v>
      </c>
      <c r="C226" s="865">
        <v>1</v>
      </c>
      <c r="D226" s="436" t="s">
        <v>43</v>
      </c>
      <c r="E226" s="1020">
        <f>ROUNDUP((1.4*9.76+0.16*(1.4*2+9.76*2))*((2745+800)/(4*8*0.093)),0)</f>
        <v>20531</v>
      </c>
      <c r="F226" s="833">
        <f t="shared" si="84"/>
        <v>20531</v>
      </c>
      <c r="G226" s="908">
        <f>E226*0.2</f>
        <v>4106.2</v>
      </c>
      <c r="H226" s="833">
        <f t="shared" si="85"/>
        <v>4106.2</v>
      </c>
      <c r="I226" s="867">
        <f t="shared" si="86"/>
        <v>24637.200000000001</v>
      </c>
      <c r="J226" s="922"/>
      <c r="K226" s="1287" t="s">
        <v>766</v>
      </c>
      <c r="L226" s="6"/>
      <c r="M226" s="6"/>
      <c r="N226" s="6"/>
      <c r="R226" s="6"/>
      <c r="S226" s="6"/>
      <c r="T226" s="6"/>
      <c r="U226" s="6"/>
      <c r="V226" s="6"/>
    </row>
    <row r="227" spans="1:22" ht="26.25" customHeight="1">
      <c r="A227" s="890" t="s">
        <v>1835</v>
      </c>
      <c r="B227" s="1026" t="s">
        <v>1243</v>
      </c>
      <c r="C227" s="865">
        <v>1</v>
      </c>
      <c r="D227" s="436" t="s">
        <v>43</v>
      </c>
      <c r="E227" s="1020">
        <f>ROUND((2.09*1.22)*22500,0)</f>
        <v>57371</v>
      </c>
      <c r="F227" s="833">
        <f t="shared" si="84"/>
        <v>57371</v>
      </c>
      <c r="G227" s="908">
        <f>E227*0.2</f>
        <v>11474.2</v>
      </c>
      <c r="H227" s="833">
        <f t="shared" si="85"/>
        <v>11474.2</v>
      </c>
      <c r="I227" s="867">
        <f t="shared" si="86"/>
        <v>68845.2</v>
      </c>
      <c r="J227" s="922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49.15" customHeight="1">
      <c r="A228" s="890" t="s">
        <v>1836</v>
      </c>
      <c r="B228" s="1026" t="s">
        <v>1244</v>
      </c>
      <c r="C228" s="876">
        <v>1</v>
      </c>
      <c r="D228" s="905" t="s">
        <v>43</v>
      </c>
      <c r="E228" s="1038">
        <f>ROUNDUP(540*4*32+540*4/2*4,0)</f>
        <v>73440</v>
      </c>
      <c r="F228" s="877">
        <f t="shared" si="84"/>
        <v>73440</v>
      </c>
      <c r="G228" s="1039">
        <f>E228*0.2</f>
        <v>14688</v>
      </c>
      <c r="H228" s="877">
        <f t="shared" si="85"/>
        <v>14688</v>
      </c>
      <c r="I228" s="879">
        <f t="shared" si="86"/>
        <v>88128</v>
      </c>
      <c r="J228" s="922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49.15" customHeight="1">
      <c r="A229" s="890" t="s">
        <v>1837</v>
      </c>
      <c r="B229" s="1026" t="s">
        <v>1245</v>
      </c>
      <c r="C229" s="876">
        <v>1</v>
      </c>
      <c r="D229" s="905" t="s">
        <v>43</v>
      </c>
      <c r="E229" s="1038">
        <f>ROUNDUP(450*4*19+360*4*38+360*4/2*5,0)</f>
        <v>92520</v>
      </c>
      <c r="F229" s="877">
        <f t="shared" si="84"/>
        <v>92520</v>
      </c>
      <c r="G229" s="1039">
        <f>E229*0.2</f>
        <v>18504</v>
      </c>
      <c r="H229" s="877">
        <f t="shared" si="85"/>
        <v>18504</v>
      </c>
      <c r="I229" s="879">
        <f t="shared" si="86"/>
        <v>111024</v>
      </c>
      <c r="J229" s="92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2.1" customHeight="1">
      <c r="A230" s="890" t="s">
        <v>1838</v>
      </c>
      <c r="B230" s="868" t="s">
        <v>1409</v>
      </c>
      <c r="C230" s="876">
        <v>26</v>
      </c>
      <c r="D230" s="905" t="s">
        <v>1366</v>
      </c>
      <c r="E230" s="1038">
        <v>1200</v>
      </c>
      <c r="F230" s="877">
        <f t="shared" si="84"/>
        <v>31200</v>
      </c>
      <c r="G230" s="1039"/>
      <c r="H230" s="877">
        <f t="shared" si="85"/>
        <v>0</v>
      </c>
      <c r="I230" s="879">
        <f t="shared" si="86"/>
        <v>31200</v>
      </c>
      <c r="J230" s="922" t="s">
        <v>1410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28.5" customHeight="1">
      <c r="A231" s="929"/>
      <c r="B231" s="929" t="s">
        <v>1300</v>
      </c>
      <c r="C231" s="925"/>
      <c r="D231" s="552"/>
      <c r="E231" s="926"/>
      <c r="F231" s="925"/>
      <c r="G231" s="926"/>
      <c r="H231" s="925"/>
      <c r="I231" s="928">
        <f>SUM(I223:I230)</f>
        <v>350973.6</v>
      </c>
      <c r="J231" s="929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28.5" customHeight="1">
      <c r="A232" s="1044">
        <v>3.3</v>
      </c>
      <c r="B232" s="1288" t="s">
        <v>1316</v>
      </c>
      <c r="C232" s="1289"/>
      <c r="D232" s="752"/>
      <c r="E232" s="1286"/>
      <c r="F232" s="1289"/>
      <c r="G232" s="1286"/>
      <c r="H232" s="1289"/>
      <c r="I232" s="1286"/>
      <c r="J232" s="104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27" customHeight="1">
      <c r="A233" s="1427" t="s">
        <v>1839</v>
      </c>
      <c r="B233" s="1429" t="s">
        <v>1840</v>
      </c>
      <c r="C233" s="1425">
        <v>1</v>
      </c>
      <c r="D233" s="1431" t="s">
        <v>43</v>
      </c>
      <c r="E233" s="1425">
        <v>75000</v>
      </c>
      <c r="F233" s="1425">
        <f>C233*E233</f>
        <v>75000</v>
      </c>
      <c r="G233" s="1425">
        <v>25000</v>
      </c>
      <c r="H233" s="1425">
        <f>C233*G233</f>
        <v>25000</v>
      </c>
      <c r="I233" s="1425">
        <f>F233+H233</f>
        <v>100000</v>
      </c>
      <c r="J233" s="1427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27" customHeight="1">
      <c r="A234" s="1428"/>
      <c r="B234" s="1430"/>
      <c r="C234" s="1426"/>
      <c r="D234" s="1432"/>
      <c r="E234" s="1426"/>
      <c r="F234" s="1426"/>
      <c r="G234" s="1426"/>
      <c r="H234" s="1426"/>
      <c r="I234" s="1426"/>
      <c r="J234" s="1428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26.25" customHeight="1">
      <c r="A235" s="641"/>
      <c r="B235" s="551" t="s">
        <v>1364</v>
      </c>
      <c r="C235" s="636"/>
      <c r="D235" s="552"/>
      <c r="E235" s="917"/>
      <c r="F235" s="917"/>
      <c r="G235" s="643"/>
      <c r="H235" s="926"/>
      <c r="I235" s="886">
        <f>SUM(I233)</f>
        <v>100000</v>
      </c>
      <c r="J235" s="1045"/>
      <c r="K235" s="465">
        <v>335372.40000000002</v>
      </c>
      <c r="O235" s="6"/>
      <c r="P235" s="6"/>
      <c r="Q235" s="6"/>
      <c r="R235" s="6"/>
      <c r="S235" s="6"/>
    </row>
    <row r="236" spans="1:22" ht="26.25" customHeight="1">
      <c r="A236" s="1290"/>
      <c r="B236" s="499" t="s">
        <v>114</v>
      </c>
      <c r="C236" s="1291"/>
      <c r="D236" s="1290"/>
      <c r="E236" s="1292"/>
      <c r="F236" s="1292"/>
      <c r="G236" s="1292"/>
      <c r="H236" s="1292"/>
      <c r="I236" s="1292">
        <f>I204+I214+I220+I231+I235</f>
        <v>1724489.8064229768</v>
      </c>
      <c r="J236" s="499"/>
      <c r="O236" s="6"/>
      <c r="P236" s="6"/>
      <c r="Q236" s="6"/>
      <c r="R236" s="6"/>
    </row>
    <row r="237" spans="1:22" ht="26.25" customHeight="1">
      <c r="A237" s="1293"/>
      <c r="B237" s="1294" t="s">
        <v>1188</v>
      </c>
      <c r="C237" s="1295"/>
      <c r="D237" s="1293"/>
      <c r="E237" s="1296"/>
      <c r="F237" s="1296"/>
      <c r="G237" s="1296"/>
      <c r="H237" s="1296"/>
      <c r="I237" s="1296">
        <f>I196+I236</f>
        <v>9091723.2064229771</v>
      </c>
      <c r="J237" s="498"/>
      <c r="O237" s="6"/>
      <c r="P237" s="6"/>
      <c r="Q237" s="6"/>
    </row>
  </sheetData>
  <mergeCells count="48">
    <mergeCell ref="H160:H165"/>
    <mergeCell ref="I160:I165"/>
    <mergeCell ref="E86:H86"/>
    <mergeCell ref="E91:H91"/>
    <mergeCell ref="E96:H96"/>
    <mergeCell ref="E101:H101"/>
    <mergeCell ref="E159:H159"/>
    <mergeCell ref="C160:C165"/>
    <mergeCell ref="D160:D165"/>
    <mergeCell ref="E160:E165"/>
    <mergeCell ref="F160:F165"/>
    <mergeCell ref="G160:G165"/>
    <mergeCell ref="I12:I13"/>
    <mergeCell ref="J12:J13"/>
    <mergeCell ref="E55:H55"/>
    <mergeCell ref="E81:H81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  <mergeCell ref="G233:G234"/>
    <mergeCell ref="H233:H234"/>
    <mergeCell ref="I233:I234"/>
    <mergeCell ref="A233:A234"/>
    <mergeCell ref="J233:J234"/>
    <mergeCell ref="B233:B234"/>
    <mergeCell ref="C233:C234"/>
    <mergeCell ref="D233:D234"/>
    <mergeCell ref="E233:E234"/>
    <mergeCell ref="F233:F234"/>
  </mergeCells>
  <hyperlinks>
    <hyperlink ref="K226" r:id="rId1"/>
    <hyperlink ref="K131" r:id="rId2"/>
  </hyperlinks>
  <printOptions horizontalCentered="1"/>
  <pageMargins left="0.31496062992125984" right="0.16" top="0.32" bottom="0.24" header="0.26" footer="0.19"/>
  <pageSetup paperSize="9" scale="65" fitToHeight="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126"/>
  <sheetViews>
    <sheetView topLeftCell="A7" zoomScale="85" zoomScaleNormal="85" zoomScaleSheetLayoutView="80" workbookViewId="0">
      <selection activeCell="A16" sqref="A16:J126"/>
    </sheetView>
  </sheetViews>
  <sheetFormatPr defaultColWidth="8.7109375" defaultRowHeight="24"/>
  <cols>
    <col min="1" max="1" width="11.28515625" style="39" customWidth="1"/>
    <col min="2" max="2" width="80.710937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7.2851562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SUM(AA2:AA13)</f>
        <v>0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SUM(AA7:AA796)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1617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7" t="s">
        <v>1</v>
      </c>
      <c r="C12" s="1419" t="s">
        <v>13</v>
      </c>
      <c r="D12" s="1419" t="s">
        <v>12</v>
      </c>
      <c r="E12" s="1419" t="s">
        <v>14</v>
      </c>
      <c r="F12" s="1419"/>
      <c r="G12" s="1419" t="s">
        <v>15</v>
      </c>
      <c r="H12" s="1419"/>
      <c r="I12" s="1422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7"/>
      <c r="C13" s="1419"/>
      <c r="D13" s="1419"/>
      <c r="E13" s="1140" t="s">
        <v>35</v>
      </c>
      <c r="F13" s="1140" t="s">
        <v>16</v>
      </c>
      <c r="G13" s="1140" t="s">
        <v>35</v>
      </c>
      <c r="H13" s="1140" t="s">
        <v>16</v>
      </c>
      <c r="I13" s="1423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SUM(AB2:AB13)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>
      <c r="A14" s="751">
        <v>4</v>
      </c>
      <c r="B14" s="751" t="s">
        <v>27</v>
      </c>
      <c r="C14" s="1272"/>
      <c r="D14" s="752"/>
      <c r="E14" s="1286"/>
      <c r="F14" s="1286"/>
      <c r="G14" s="1286"/>
      <c r="H14" s="1286"/>
      <c r="I14" s="1286"/>
      <c r="J14" s="753"/>
    </row>
    <row r="15" spans="1:28" s="7" customFormat="1">
      <c r="A15" s="754">
        <v>4.0999999999999996</v>
      </c>
      <c r="B15" s="755" t="s">
        <v>887</v>
      </c>
      <c r="C15" s="756"/>
      <c r="D15" s="757"/>
      <c r="E15" s="758"/>
      <c r="F15" s="759"/>
      <c r="G15" s="759"/>
      <c r="H15" s="759"/>
      <c r="I15" s="756"/>
      <c r="J15" s="757"/>
      <c r="L15" s="443"/>
      <c r="O15" s="1"/>
      <c r="P15" s="1"/>
      <c r="Q15" s="1"/>
      <c r="R15" s="1"/>
      <c r="S15" s="1"/>
    </row>
    <row r="16" spans="1:28" s="7" customFormat="1">
      <c r="A16" s="760" t="s">
        <v>888</v>
      </c>
      <c r="B16" s="761" t="s">
        <v>889</v>
      </c>
      <c r="C16" s="618">
        <v>1</v>
      </c>
      <c r="D16" s="618" t="s">
        <v>37</v>
      </c>
      <c r="E16" s="762">
        <v>149265</v>
      </c>
      <c r="F16" s="763">
        <f>C16*E16</f>
        <v>149265</v>
      </c>
      <c r="G16" s="618">
        <v>4000</v>
      </c>
      <c r="H16" s="579">
        <f>C16*G16</f>
        <v>4000</v>
      </c>
      <c r="I16" s="764">
        <f>H16+F16</f>
        <v>153265</v>
      </c>
      <c r="J16" s="765"/>
      <c r="L16" s="443" t="s">
        <v>890</v>
      </c>
      <c r="N16" s="7" t="s">
        <v>891</v>
      </c>
      <c r="O16" s="1"/>
      <c r="P16" s="1"/>
      <c r="Q16" s="1"/>
      <c r="R16" s="1"/>
    </row>
    <row r="17" spans="1:20" s="7" customFormat="1">
      <c r="A17" s="766" t="s">
        <v>1618</v>
      </c>
      <c r="B17" s="767" t="s">
        <v>1412</v>
      </c>
      <c r="C17" s="768"/>
      <c r="D17" s="768"/>
      <c r="E17" s="768">
        <v>0</v>
      </c>
      <c r="F17" s="768">
        <v>0</v>
      </c>
      <c r="G17" s="768">
        <v>0</v>
      </c>
      <c r="H17" s="768">
        <v>0</v>
      </c>
      <c r="I17" s="768">
        <v>0</v>
      </c>
      <c r="J17" s="747"/>
      <c r="L17" s="443"/>
      <c r="O17" s="1"/>
      <c r="P17" s="1"/>
      <c r="Q17" s="1"/>
      <c r="R17" s="1"/>
    </row>
    <row r="18" spans="1:20" s="7" customFormat="1">
      <c r="A18" s="766" t="s">
        <v>1619</v>
      </c>
      <c r="B18" s="767" t="s">
        <v>892</v>
      </c>
      <c r="C18" s="768"/>
      <c r="D18" s="768"/>
      <c r="E18" s="768">
        <v>0</v>
      </c>
      <c r="F18" s="768">
        <v>0</v>
      </c>
      <c r="G18" s="768">
        <v>0</v>
      </c>
      <c r="H18" s="768">
        <v>0</v>
      </c>
      <c r="I18" s="768">
        <v>0</v>
      </c>
      <c r="J18" s="747"/>
      <c r="L18" s="443"/>
      <c r="O18" s="1"/>
      <c r="P18" s="1"/>
      <c r="Q18" s="1"/>
    </row>
    <row r="19" spans="1:20" s="7" customFormat="1">
      <c r="A19" s="766" t="s">
        <v>1620</v>
      </c>
      <c r="B19" s="767" t="s">
        <v>893</v>
      </c>
      <c r="C19" s="768"/>
      <c r="D19" s="768"/>
      <c r="E19" s="768">
        <v>0</v>
      </c>
      <c r="F19" s="768">
        <v>0</v>
      </c>
      <c r="G19" s="768">
        <v>0</v>
      </c>
      <c r="H19" s="768">
        <v>0</v>
      </c>
      <c r="I19" s="768">
        <v>0</v>
      </c>
      <c r="J19" s="747"/>
      <c r="L19" s="443"/>
      <c r="O19" s="1"/>
      <c r="P19" s="1"/>
      <c r="Q19" s="1"/>
    </row>
    <row r="20" spans="1:20" s="7" customFormat="1" ht="48">
      <c r="A20" s="766" t="s">
        <v>1621</v>
      </c>
      <c r="B20" s="769" t="s">
        <v>894</v>
      </c>
      <c r="C20" s="768"/>
      <c r="D20" s="768"/>
      <c r="E20" s="770">
        <v>0</v>
      </c>
      <c r="F20" s="770">
        <v>0</v>
      </c>
      <c r="G20" s="770">
        <v>0</v>
      </c>
      <c r="H20" s="770">
        <v>0</v>
      </c>
      <c r="I20" s="770">
        <v>0</v>
      </c>
      <c r="J20" s="747"/>
      <c r="L20" s="443"/>
    </row>
    <row r="21" spans="1:20" s="7" customFormat="1">
      <c r="A21" s="766" t="s">
        <v>1622</v>
      </c>
      <c r="B21" s="767" t="s">
        <v>895</v>
      </c>
      <c r="C21" s="768"/>
      <c r="D21" s="768"/>
      <c r="E21" s="768">
        <v>0</v>
      </c>
      <c r="F21" s="768">
        <v>0</v>
      </c>
      <c r="G21" s="768">
        <v>0</v>
      </c>
      <c r="H21" s="768">
        <v>0</v>
      </c>
      <c r="I21" s="768">
        <v>0</v>
      </c>
      <c r="J21" s="747"/>
      <c r="L21" s="443"/>
    </row>
    <row r="22" spans="1:20" s="7" customFormat="1">
      <c r="A22" s="766" t="s">
        <v>1623</v>
      </c>
      <c r="B22" s="767" t="s">
        <v>896</v>
      </c>
      <c r="C22" s="768"/>
      <c r="D22" s="768"/>
      <c r="E22" s="768">
        <v>0</v>
      </c>
      <c r="F22" s="768">
        <v>0</v>
      </c>
      <c r="G22" s="768">
        <v>0</v>
      </c>
      <c r="H22" s="768">
        <v>0</v>
      </c>
      <c r="I22" s="768">
        <v>0</v>
      </c>
      <c r="J22" s="747"/>
      <c r="L22" s="443"/>
    </row>
    <row r="23" spans="1:20" s="7" customFormat="1">
      <c r="A23" s="766" t="s">
        <v>1624</v>
      </c>
      <c r="B23" s="771" t="s">
        <v>897</v>
      </c>
      <c r="C23" s="1146">
        <v>1</v>
      </c>
      <c r="D23" s="772" t="s">
        <v>40</v>
      </c>
      <c r="E23" s="624">
        <f>(SUM(149265)*1.25%)</f>
        <v>1865.8125</v>
      </c>
      <c r="F23" s="625">
        <f>C23*E23</f>
        <v>1865.8125</v>
      </c>
      <c r="G23" s="624">
        <f>F23*30%</f>
        <v>559.74374999999998</v>
      </c>
      <c r="H23" s="625">
        <f>C23*G23</f>
        <v>559.74374999999998</v>
      </c>
      <c r="I23" s="626">
        <f>H23+F23</f>
        <v>2425.5562500000001</v>
      </c>
      <c r="J23" s="774"/>
      <c r="L23" s="443"/>
      <c r="N23" s="7" t="s">
        <v>898</v>
      </c>
    </row>
    <row r="24" spans="1:20" s="7" customFormat="1">
      <c r="A24" s="766" t="s">
        <v>1625</v>
      </c>
      <c r="B24" s="771" t="s">
        <v>899</v>
      </c>
      <c r="C24" s="1146">
        <v>1</v>
      </c>
      <c r="D24" s="772" t="s">
        <v>43</v>
      </c>
      <c r="E24" s="1439" t="s">
        <v>900</v>
      </c>
      <c r="F24" s="1439"/>
      <c r="G24" s="1439"/>
      <c r="H24" s="1439"/>
      <c r="I24" s="773"/>
      <c r="J24" s="774"/>
      <c r="L24" s="443" t="s">
        <v>901</v>
      </c>
    </row>
    <row r="25" spans="1:20" s="434" customFormat="1">
      <c r="A25" s="574" t="s">
        <v>902</v>
      </c>
      <c r="B25" s="575" t="s">
        <v>773</v>
      </c>
      <c r="C25" s="576"/>
      <c r="D25" s="577"/>
      <c r="E25" s="618"/>
      <c r="F25" s="579"/>
      <c r="G25" s="618"/>
      <c r="H25" s="579"/>
      <c r="I25" s="580"/>
      <c r="J25" s="581"/>
      <c r="K25" s="433"/>
      <c r="L25" s="435"/>
      <c r="M25" s="433"/>
      <c r="O25" s="7"/>
      <c r="P25" s="7"/>
      <c r="Q25" s="7"/>
      <c r="R25" s="7"/>
      <c r="S25" s="7"/>
      <c r="T25" s="433"/>
    </row>
    <row r="26" spans="1:20" s="434" customFormat="1">
      <c r="A26" s="620" t="s">
        <v>1626</v>
      </c>
      <c r="B26" s="621" t="s">
        <v>774</v>
      </c>
      <c r="C26" s="622">
        <v>1</v>
      </c>
      <c r="D26" s="772" t="s">
        <v>40</v>
      </c>
      <c r="E26" s="624">
        <f>ROUND((SUM(149265)*6%),2)</f>
        <v>8955.9</v>
      </c>
      <c r="F26" s="625">
        <f t="shared" ref="F26:F28" si="2">ROUND(C26*E26,0)</f>
        <v>8956</v>
      </c>
      <c r="G26" s="624">
        <f>ROUND((F26*30%),2)</f>
        <v>2686.8</v>
      </c>
      <c r="H26" s="625">
        <f t="shared" ref="H26:H28" si="3">ROUND(C26*G26,0)</f>
        <v>2687</v>
      </c>
      <c r="I26" s="626">
        <f t="shared" ref="I26:I28" si="4">H26+F26</f>
        <v>11643</v>
      </c>
      <c r="J26" s="775"/>
      <c r="K26" s="433"/>
      <c r="L26" s="435"/>
      <c r="M26" s="433"/>
      <c r="O26" s="7"/>
      <c r="P26" s="7"/>
      <c r="Q26" s="7"/>
      <c r="R26" s="7"/>
      <c r="S26" s="433"/>
      <c r="T26" s="433"/>
    </row>
    <row r="27" spans="1:20" s="434" customFormat="1">
      <c r="A27" s="620" t="s">
        <v>1627</v>
      </c>
      <c r="B27" s="621" t="s">
        <v>775</v>
      </c>
      <c r="C27" s="622">
        <v>1</v>
      </c>
      <c r="D27" s="772" t="s">
        <v>40</v>
      </c>
      <c r="E27" s="624">
        <f>ROUND((SUM(149265,F21:F22)*4%),2)</f>
        <v>5970.6</v>
      </c>
      <c r="F27" s="625">
        <f t="shared" si="2"/>
        <v>5971</v>
      </c>
      <c r="G27" s="624">
        <f>ROUND((F27*30%),2)</f>
        <v>1791.3</v>
      </c>
      <c r="H27" s="625">
        <f t="shared" si="3"/>
        <v>1791</v>
      </c>
      <c r="I27" s="626">
        <f t="shared" si="4"/>
        <v>7762</v>
      </c>
      <c r="J27" s="775"/>
      <c r="K27" s="433"/>
      <c r="L27" s="435"/>
      <c r="M27" s="433"/>
      <c r="O27" s="7"/>
      <c r="P27" s="7"/>
      <c r="Q27" s="7"/>
      <c r="R27" s="7"/>
      <c r="S27" s="433"/>
      <c r="T27" s="433"/>
    </row>
    <row r="28" spans="1:20" s="434" customFormat="1">
      <c r="A28" s="620" t="s">
        <v>1628</v>
      </c>
      <c r="B28" s="621" t="s">
        <v>776</v>
      </c>
      <c r="C28" s="622">
        <v>1</v>
      </c>
      <c r="D28" s="772" t="s">
        <v>40</v>
      </c>
      <c r="E28" s="624">
        <f>ROUND((SUM(F26:F27)*10%),2)</f>
        <v>1492.7</v>
      </c>
      <c r="F28" s="625">
        <f t="shared" si="2"/>
        <v>1493</v>
      </c>
      <c r="G28" s="624">
        <f>ROUND((F28*30%),2)</f>
        <v>447.9</v>
      </c>
      <c r="H28" s="625">
        <f t="shared" si="3"/>
        <v>448</v>
      </c>
      <c r="I28" s="626">
        <f t="shared" si="4"/>
        <v>1941</v>
      </c>
      <c r="J28" s="775"/>
      <c r="K28" s="433"/>
      <c r="L28" s="435"/>
      <c r="M28" s="433"/>
      <c r="O28" s="7"/>
      <c r="P28" s="7"/>
      <c r="Q28" s="7"/>
      <c r="R28" s="433"/>
      <c r="S28" s="433"/>
      <c r="T28" s="433"/>
    </row>
    <row r="29" spans="1:20" s="7" customFormat="1">
      <c r="A29" s="760" t="s">
        <v>903</v>
      </c>
      <c r="B29" s="776" t="s">
        <v>904</v>
      </c>
      <c r="C29" s="1147">
        <v>1</v>
      </c>
      <c r="D29" s="577" t="s">
        <v>43</v>
      </c>
      <c r="E29" s="1440" t="s">
        <v>900</v>
      </c>
      <c r="F29" s="1440"/>
      <c r="G29" s="1440"/>
      <c r="H29" s="1440"/>
      <c r="I29" s="777"/>
      <c r="J29" s="765"/>
      <c r="L29" s="443"/>
      <c r="R29" s="433"/>
      <c r="S29" s="433"/>
    </row>
    <row r="30" spans="1:20" s="7" customFormat="1">
      <c r="A30" s="760" t="s">
        <v>905</v>
      </c>
      <c r="B30" s="778" t="s">
        <v>906</v>
      </c>
      <c r="C30" s="617"/>
      <c r="D30" s="779"/>
      <c r="E30" s="617"/>
      <c r="F30" s="617"/>
      <c r="G30" s="617"/>
      <c r="H30" s="617"/>
      <c r="I30" s="617"/>
      <c r="J30" s="703"/>
      <c r="L30" s="450" t="s">
        <v>907</v>
      </c>
      <c r="M30" s="450" t="s">
        <v>908</v>
      </c>
      <c r="N30" s="444" t="s">
        <v>909</v>
      </c>
      <c r="O30" s="434"/>
      <c r="P30" s="433"/>
      <c r="Q30" s="433"/>
      <c r="R30" s="433"/>
    </row>
    <row r="31" spans="1:20" s="7" customFormat="1">
      <c r="A31" s="766" t="s">
        <v>1629</v>
      </c>
      <c r="B31" s="780" t="s">
        <v>910</v>
      </c>
      <c r="C31" s="623">
        <v>172</v>
      </c>
      <c r="D31" s="781" t="s">
        <v>394</v>
      </c>
      <c r="E31" s="623">
        <v>16.05</v>
      </c>
      <c r="F31" s="625">
        <f t="shared" ref="F31:F42" si="5">C31*E31</f>
        <v>2760.6</v>
      </c>
      <c r="G31" s="623">
        <v>30</v>
      </c>
      <c r="H31" s="625">
        <f t="shared" ref="H31:H42" si="6">C31*G31</f>
        <v>5160</v>
      </c>
      <c r="I31" s="623">
        <f t="shared" ref="I31:I40" si="7">F31+H31</f>
        <v>7920.6</v>
      </c>
      <c r="J31" s="782"/>
      <c r="L31" s="451">
        <v>64.180000000000007</v>
      </c>
      <c r="M31" s="451">
        <f>ROUND(L31/4,2)</f>
        <v>16.05</v>
      </c>
      <c r="N31" s="7" t="s">
        <v>911</v>
      </c>
      <c r="O31" s="434"/>
      <c r="P31" s="433"/>
      <c r="Q31" s="433"/>
      <c r="R31" s="433"/>
    </row>
    <row r="32" spans="1:20" s="7" customFormat="1">
      <c r="A32" s="766" t="s">
        <v>1630</v>
      </c>
      <c r="B32" s="780" t="s">
        <v>912</v>
      </c>
      <c r="C32" s="623">
        <v>43</v>
      </c>
      <c r="D32" s="781" t="s">
        <v>394</v>
      </c>
      <c r="E32" s="623">
        <v>15.97</v>
      </c>
      <c r="F32" s="625">
        <f t="shared" si="5"/>
        <v>686.71</v>
      </c>
      <c r="G32" s="623">
        <v>30</v>
      </c>
      <c r="H32" s="625">
        <f t="shared" si="6"/>
        <v>1290</v>
      </c>
      <c r="I32" s="623">
        <f t="shared" si="7"/>
        <v>1976.71</v>
      </c>
      <c r="J32" s="782"/>
      <c r="L32" s="451">
        <v>63.86</v>
      </c>
      <c r="M32" s="451">
        <f t="shared" ref="M32:M37" si="8">ROUND(L32/4,2)</f>
        <v>15.97</v>
      </c>
      <c r="O32" s="434"/>
      <c r="P32" s="433"/>
      <c r="Q32" s="433"/>
    </row>
    <row r="33" spans="1:17" s="7" customFormat="1">
      <c r="A33" s="766" t="s">
        <v>1631</v>
      </c>
      <c r="B33" s="780" t="s">
        <v>913</v>
      </c>
      <c r="C33" s="623">
        <v>11</v>
      </c>
      <c r="D33" s="781" t="s">
        <v>394</v>
      </c>
      <c r="E33" s="623">
        <v>25.94</v>
      </c>
      <c r="F33" s="625">
        <f t="shared" si="5"/>
        <v>285.34000000000003</v>
      </c>
      <c r="G33" s="623">
        <v>30</v>
      </c>
      <c r="H33" s="625">
        <f t="shared" si="6"/>
        <v>330</v>
      </c>
      <c r="I33" s="623">
        <f t="shared" si="7"/>
        <v>615.34</v>
      </c>
      <c r="J33" s="782"/>
      <c r="L33" s="451">
        <v>103.74</v>
      </c>
      <c r="M33" s="451">
        <f t="shared" si="8"/>
        <v>25.94</v>
      </c>
      <c r="O33" s="434"/>
      <c r="P33" s="433"/>
      <c r="Q33" s="433"/>
    </row>
    <row r="34" spans="1:17" s="7" customFormat="1">
      <c r="A34" s="766" t="s">
        <v>1632</v>
      </c>
      <c r="B34" s="780" t="s">
        <v>914</v>
      </c>
      <c r="C34" s="623">
        <v>17</v>
      </c>
      <c r="D34" s="781" t="s">
        <v>394</v>
      </c>
      <c r="E34" s="623">
        <v>40.07</v>
      </c>
      <c r="F34" s="625">
        <f t="shared" si="5"/>
        <v>681.19</v>
      </c>
      <c r="G34" s="623">
        <v>30</v>
      </c>
      <c r="H34" s="625">
        <f t="shared" si="6"/>
        <v>510</v>
      </c>
      <c r="I34" s="623">
        <f t="shared" si="7"/>
        <v>1191.19</v>
      </c>
      <c r="J34" s="782"/>
      <c r="L34" s="451">
        <v>160.28</v>
      </c>
      <c r="M34" s="451">
        <f t="shared" si="8"/>
        <v>40.07</v>
      </c>
    </row>
    <row r="35" spans="1:17" s="7" customFormat="1">
      <c r="A35" s="766" t="s">
        <v>1633</v>
      </c>
      <c r="B35" s="780" t="s">
        <v>915</v>
      </c>
      <c r="C35" s="623">
        <v>37</v>
      </c>
      <c r="D35" s="781" t="s">
        <v>394</v>
      </c>
      <c r="E35" s="623">
        <v>46.48</v>
      </c>
      <c r="F35" s="625">
        <f t="shared" si="5"/>
        <v>1719.76</v>
      </c>
      <c r="G35" s="623">
        <v>30</v>
      </c>
      <c r="H35" s="625">
        <f t="shared" si="6"/>
        <v>1110</v>
      </c>
      <c r="I35" s="623">
        <f t="shared" si="7"/>
        <v>2829.76</v>
      </c>
      <c r="J35" s="782"/>
      <c r="L35" s="451">
        <v>185.92</v>
      </c>
      <c r="M35" s="451">
        <f t="shared" si="8"/>
        <v>46.48</v>
      </c>
    </row>
    <row r="36" spans="1:17" s="7" customFormat="1">
      <c r="A36" s="766" t="s">
        <v>1634</v>
      </c>
      <c r="B36" s="780" t="s">
        <v>916</v>
      </c>
      <c r="C36" s="623">
        <v>11</v>
      </c>
      <c r="D36" s="781" t="s">
        <v>394</v>
      </c>
      <c r="E36" s="623">
        <v>63.55</v>
      </c>
      <c r="F36" s="625">
        <f t="shared" si="5"/>
        <v>699.05</v>
      </c>
      <c r="G36" s="623">
        <v>40</v>
      </c>
      <c r="H36" s="625">
        <f t="shared" si="6"/>
        <v>440</v>
      </c>
      <c r="I36" s="623">
        <f t="shared" si="7"/>
        <v>1139.05</v>
      </c>
      <c r="J36" s="782"/>
      <c r="L36" s="451">
        <v>254.21</v>
      </c>
      <c r="M36" s="451">
        <f t="shared" si="8"/>
        <v>63.55</v>
      </c>
    </row>
    <row r="37" spans="1:17" s="7" customFormat="1">
      <c r="A37" s="766" t="s">
        <v>1635</v>
      </c>
      <c r="B37" s="780" t="s">
        <v>917</v>
      </c>
      <c r="C37" s="623">
        <v>38</v>
      </c>
      <c r="D37" s="781" t="s">
        <v>394</v>
      </c>
      <c r="E37" s="623">
        <v>112.03</v>
      </c>
      <c r="F37" s="625">
        <f t="shared" si="5"/>
        <v>4257.1400000000003</v>
      </c>
      <c r="G37" s="623">
        <v>60</v>
      </c>
      <c r="H37" s="625">
        <f t="shared" si="6"/>
        <v>2280</v>
      </c>
      <c r="I37" s="623">
        <f>F37+H37</f>
        <v>6537.14</v>
      </c>
      <c r="J37" s="782"/>
      <c r="L37" s="451">
        <v>448.13</v>
      </c>
      <c r="M37" s="451">
        <f t="shared" si="8"/>
        <v>112.03</v>
      </c>
    </row>
    <row r="38" spans="1:17" s="7" customFormat="1">
      <c r="A38" s="766" t="s">
        <v>1636</v>
      </c>
      <c r="B38" s="783" t="s">
        <v>785</v>
      </c>
      <c r="C38" s="623">
        <v>1</v>
      </c>
      <c r="D38" s="781" t="s">
        <v>40</v>
      </c>
      <c r="E38" s="624">
        <f>SUM(F31:F37)*50%</f>
        <v>5544.8950000000004</v>
      </c>
      <c r="F38" s="625">
        <f t="shared" si="5"/>
        <v>5544.8950000000004</v>
      </c>
      <c r="G38" s="624">
        <f>ROUND((F38*30%),2)</f>
        <v>1663.47</v>
      </c>
      <c r="H38" s="625">
        <f t="shared" si="6"/>
        <v>1663.47</v>
      </c>
      <c r="I38" s="623">
        <f t="shared" si="7"/>
        <v>7208.3650000000007</v>
      </c>
      <c r="J38" s="782"/>
      <c r="L38" s="443" t="s">
        <v>918</v>
      </c>
    </row>
    <row r="39" spans="1:17" s="7" customFormat="1">
      <c r="A39" s="766" t="s">
        <v>1637</v>
      </c>
      <c r="B39" s="783" t="s">
        <v>786</v>
      </c>
      <c r="C39" s="623">
        <v>1</v>
      </c>
      <c r="D39" s="781" t="s">
        <v>40</v>
      </c>
      <c r="E39" s="624">
        <f>SUM(F31:F37)*30%</f>
        <v>3326.9370000000004</v>
      </c>
      <c r="F39" s="625">
        <f t="shared" si="5"/>
        <v>3326.9370000000004</v>
      </c>
      <c r="G39" s="624">
        <f>ROUND((F39*30%),2)</f>
        <v>998.08</v>
      </c>
      <c r="H39" s="625">
        <f t="shared" si="6"/>
        <v>998.08</v>
      </c>
      <c r="I39" s="623">
        <f t="shared" si="7"/>
        <v>4325.0170000000007</v>
      </c>
      <c r="J39" s="782"/>
      <c r="L39" s="443" t="s">
        <v>918</v>
      </c>
    </row>
    <row r="40" spans="1:17" s="7" customFormat="1">
      <c r="A40" s="766" t="s">
        <v>1638</v>
      </c>
      <c r="B40" s="784" t="s">
        <v>820</v>
      </c>
      <c r="C40" s="623">
        <v>1</v>
      </c>
      <c r="D40" s="781" t="s">
        <v>40</v>
      </c>
      <c r="E40" s="624">
        <f>SUM(F31:F37)*10%</f>
        <v>1108.979</v>
      </c>
      <c r="F40" s="625">
        <f t="shared" si="5"/>
        <v>1108.979</v>
      </c>
      <c r="G40" s="624">
        <f>ROUND((F40*30%),2)</f>
        <v>332.69</v>
      </c>
      <c r="H40" s="625">
        <f t="shared" si="6"/>
        <v>332.69</v>
      </c>
      <c r="I40" s="623">
        <f t="shared" si="7"/>
        <v>1441.6690000000001</v>
      </c>
      <c r="J40" s="782"/>
      <c r="L40" s="443" t="s">
        <v>918</v>
      </c>
    </row>
    <row r="41" spans="1:17" s="7" customFormat="1">
      <c r="A41" s="760" t="s">
        <v>919</v>
      </c>
      <c r="B41" s="778" t="s">
        <v>920</v>
      </c>
      <c r="C41" s="785"/>
      <c r="D41" s="703"/>
      <c r="E41" s="617"/>
      <c r="F41" s="617"/>
      <c r="G41" s="617"/>
      <c r="H41" s="617"/>
      <c r="I41" s="617"/>
      <c r="J41" s="786"/>
      <c r="L41" s="442" t="s">
        <v>921</v>
      </c>
    </row>
    <row r="42" spans="1:17" s="7" customFormat="1">
      <c r="A42" s="766" t="s">
        <v>1639</v>
      </c>
      <c r="B42" s="780" t="s">
        <v>910</v>
      </c>
      <c r="C42" s="623">
        <v>1</v>
      </c>
      <c r="D42" s="781" t="s">
        <v>91</v>
      </c>
      <c r="E42" s="623">
        <v>480</v>
      </c>
      <c r="F42" s="625">
        <f t="shared" si="5"/>
        <v>480</v>
      </c>
      <c r="G42" s="623">
        <v>100</v>
      </c>
      <c r="H42" s="625">
        <f t="shared" si="6"/>
        <v>100</v>
      </c>
      <c r="I42" s="623">
        <f>F42+H42</f>
        <v>580</v>
      </c>
      <c r="J42" s="787"/>
      <c r="L42" s="452" t="s">
        <v>922</v>
      </c>
      <c r="M42" s="7" t="s">
        <v>911</v>
      </c>
    </row>
    <row r="43" spans="1:17" s="7" customFormat="1">
      <c r="A43" s="766" t="s">
        <v>1640</v>
      </c>
      <c r="B43" s="780" t="s">
        <v>914</v>
      </c>
      <c r="C43" s="623">
        <v>2</v>
      </c>
      <c r="D43" s="781" t="s">
        <v>91</v>
      </c>
      <c r="E43" s="623">
        <v>1016</v>
      </c>
      <c r="F43" s="625">
        <f>C43*E43</f>
        <v>2032</v>
      </c>
      <c r="G43" s="623">
        <v>250</v>
      </c>
      <c r="H43" s="625">
        <f>C43*G43</f>
        <v>500</v>
      </c>
      <c r="I43" s="623">
        <f t="shared" ref="I43:I44" si="9">F43+H43</f>
        <v>2532</v>
      </c>
      <c r="J43" s="787"/>
      <c r="L43" s="452" t="s">
        <v>922</v>
      </c>
    </row>
    <row r="44" spans="1:17" s="7" customFormat="1">
      <c r="A44" s="766" t="s">
        <v>1641</v>
      </c>
      <c r="B44" s="780" t="s">
        <v>915</v>
      </c>
      <c r="C44" s="623">
        <v>4</v>
      </c>
      <c r="D44" s="781" t="s">
        <v>91</v>
      </c>
      <c r="E44" s="623">
        <v>1360</v>
      </c>
      <c r="F44" s="625">
        <f t="shared" ref="F44" si="10">C44*E44</f>
        <v>5440</v>
      </c>
      <c r="G44" s="623">
        <v>300</v>
      </c>
      <c r="H44" s="625">
        <f t="shared" ref="H44" si="11">C44*G44</f>
        <v>1200</v>
      </c>
      <c r="I44" s="623">
        <f t="shared" si="9"/>
        <v>6640</v>
      </c>
      <c r="J44" s="787"/>
      <c r="L44" s="452" t="s">
        <v>922</v>
      </c>
    </row>
    <row r="45" spans="1:17" s="7" customFormat="1">
      <c r="A45" s="760" t="s">
        <v>923</v>
      </c>
      <c r="B45" s="776" t="s">
        <v>924</v>
      </c>
      <c r="C45" s="617"/>
      <c r="D45" s="779"/>
      <c r="E45" s="617"/>
      <c r="F45" s="617"/>
      <c r="G45" s="617"/>
      <c r="H45" s="617"/>
      <c r="I45" s="617"/>
      <c r="J45" s="786"/>
      <c r="L45" s="443"/>
    </row>
    <row r="46" spans="1:17" s="7" customFormat="1">
      <c r="A46" s="766" t="s">
        <v>1642</v>
      </c>
      <c r="B46" s="780" t="s">
        <v>917</v>
      </c>
      <c r="C46" s="623">
        <v>3</v>
      </c>
      <c r="D46" s="781" t="s">
        <v>91</v>
      </c>
      <c r="E46" s="623">
        <v>1400</v>
      </c>
      <c r="F46" s="625">
        <f>ROUND(C46*E46,0)</f>
        <v>4200</v>
      </c>
      <c r="G46" s="623">
        <v>500</v>
      </c>
      <c r="H46" s="625">
        <f>ROUND(C46*G46,0)</f>
        <v>1500</v>
      </c>
      <c r="I46" s="623">
        <f>F46+H46</f>
        <v>5700</v>
      </c>
      <c r="J46" s="787"/>
      <c r="L46" s="443" t="s">
        <v>925</v>
      </c>
      <c r="M46" s="7" t="s">
        <v>911</v>
      </c>
    </row>
    <row r="47" spans="1:17" s="7" customFormat="1">
      <c r="A47" s="760" t="s">
        <v>926</v>
      </c>
      <c r="B47" s="778" t="s">
        <v>927</v>
      </c>
      <c r="C47" s="617"/>
      <c r="D47" s="779"/>
      <c r="E47" s="617"/>
      <c r="F47" s="617"/>
      <c r="G47" s="617"/>
      <c r="H47" s="617"/>
      <c r="I47" s="617"/>
      <c r="J47" s="786"/>
      <c r="L47" s="443"/>
    </row>
    <row r="48" spans="1:17" s="7" customFormat="1">
      <c r="A48" s="766" t="s">
        <v>1644</v>
      </c>
      <c r="B48" s="780" t="s">
        <v>917</v>
      </c>
      <c r="C48" s="623">
        <v>2</v>
      </c>
      <c r="D48" s="781" t="s">
        <v>91</v>
      </c>
      <c r="E48" s="623">
        <v>3200</v>
      </c>
      <c r="F48" s="625">
        <f t="shared" ref="F48" si="12">ROUND(C48*E48,0)</f>
        <v>6400</v>
      </c>
      <c r="G48" s="623">
        <v>500</v>
      </c>
      <c r="H48" s="625">
        <f t="shared" ref="H48" si="13">ROUND(C48*G48,0)</f>
        <v>1000</v>
      </c>
      <c r="I48" s="623">
        <f t="shared" ref="I48" si="14">F48+H48</f>
        <v>7400</v>
      </c>
      <c r="J48" s="787"/>
      <c r="L48" s="443" t="s">
        <v>925</v>
      </c>
      <c r="M48" s="7" t="s">
        <v>911</v>
      </c>
    </row>
    <row r="49" spans="1:19" s="7" customFormat="1">
      <c r="A49" s="788" t="s">
        <v>928</v>
      </c>
      <c r="B49" s="778" t="s">
        <v>929</v>
      </c>
      <c r="C49" s="617"/>
      <c r="D49" s="779"/>
      <c r="E49" s="617"/>
      <c r="F49" s="617"/>
      <c r="G49" s="617"/>
      <c r="H49" s="617"/>
      <c r="I49" s="617"/>
      <c r="J49" s="786"/>
      <c r="L49" s="443"/>
    </row>
    <row r="50" spans="1:19" s="7" customFormat="1">
      <c r="A50" s="766" t="s">
        <v>1646</v>
      </c>
      <c r="B50" s="780" t="s">
        <v>917</v>
      </c>
      <c r="C50" s="623">
        <v>3</v>
      </c>
      <c r="D50" s="781" t="s">
        <v>37</v>
      </c>
      <c r="E50" s="623">
        <v>2200</v>
      </c>
      <c r="F50" s="625">
        <f t="shared" ref="F50" si="15">ROUND(C50*E50,0)</f>
        <v>6600</v>
      </c>
      <c r="G50" s="623">
        <v>500</v>
      </c>
      <c r="H50" s="625">
        <f t="shared" ref="H50" si="16">ROUND(C50*G50,0)</f>
        <v>1500</v>
      </c>
      <c r="I50" s="623">
        <f t="shared" ref="I50" si="17">F50+H50</f>
        <v>8100</v>
      </c>
      <c r="J50" s="787"/>
      <c r="L50" s="443" t="s">
        <v>925</v>
      </c>
      <c r="M50" s="7" t="s">
        <v>911</v>
      </c>
    </row>
    <row r="51" spans="1:19" s="7" customFormat="1">
      <c r="A51" s="788" t="s">
        <v>930</v>
      </c>
      <c r="B51" s="778" t="s">
        <v>931</v>
      </c>
      <c r="C51" s="617"/>
      <c r="D51" s="779"/>
      <c r="E51" s="617"/>
      <c r="F51" s="617"/>
      <c r="G51" s="617"/>
      <c r="H51" s="617"/>
      <c r="I51" s="617"/>
      <c r="J51" s="786"/>
      <c r="L51" s="443"/>
    </row>
    <row r="52" spans="1:19" s="7" customFormat="1">
      <c r="A52" s="766" t="s">
        <v>1647</v>
      </c>
      <c r="B52" s="780" t="s">
        <v>915</v>
      </c>
      <c r="C52" s="623">
        <v>1</v>
      </c>
      <c r="D52" s="781" t="s">
        <v>771</v>
      </c>
      <c r="E52" s="623">
        <v>3300</v>
      </c>
      <c r="F52" s="625">
        <f>C52*E52</f>
        <v>3300</v>
      </c>
      <c r="G52" s="623">
        <v>300</v>
      </c>
      <c r="H52" s="625">
        <f>C52*G52</f>
        <v>300</v>
      </c>
      <c r="I52" s="623">
        <f>F52+H52</f>
        <v>3600</v>
      </c>
      <c r="J52" s="787"/>
      <c r="L52" s="443" t="s">
        <v>932</v>
      </c>
      <c r="M52" s="7" t="s">
        <v>911</v>
      </c>
    </row>
    <row r="53" spans="1:19" s="7" customFormat="1">
      <c r="A53" s="760" t="s">
        <v>933</v>
      </c>
      <c r="B53" s="776" t="s">
        <v>934</v>
      </c>
      <c r="C53" s="617"/>
      <c r="D53" s="779"/>
      <c r="E53" s="617"/>
      <c r="F53" s="617"/>
      <c r="G53" s="617"/>
      <c r="H53" s="617"/>
      <c r="I53" s="617"/>
      <c r="J53" s="786"/>
      <c r="L53" s="443"/>
    </row>
    <row r="54" spans="1:19" s="7" customFormat="1">
      <c r="A54" s="766" t="s">
        <v>1648</v>
      </c>
      <c r="B54" s="780" t="s">
        <v>915</v>
      </c>
      <c r="C54" s="623">
        <v>1</v>
      </c>
      <c r="D54" s="781" t="s">
        <v>37</v>
      </c>
      <c r="E54" s="623">
        <v>1000</v>
      </c>
      <c r="F54" s="625">
        <f t="shared" ref="F54" si="18">ROUND(C54*E54,0)</f>
        <v>1000</v>
      </c>
      <c r="G54" s="623">
        <v>300</v>
      </c>
      <c r="H54" s="625">
        <f t="shared" ref="H54" si="19">ROUND(C54*G54,0)</f>
        <v>300</v>
      </c>
      <c r="I54" s="623">
        <f t="shared" ref="I54" si="20">F54+H54</f>
        <v>1300</v>
      </c>
      <c r="J54" s="787"/>
      <c r="L54" s="443" t="s">
        <v>935</v>
      </c>
    </row>
    <row r="55" spans="1:19" s="7" customFormat="1">
      <c r="A55" s="760" t="s">
        <v>936</v>
      </c>
      <c r="B55" s="776" t="s">
        <v>937</v>
      </c>
      <c r="C55" s="617"/>
      <c r="D55" s="779"/>
      <c r="E55" s="617"/>
      <c r="F55" s="617"/>
      <c r="G55" s="617"/>
      <c r="H55" s="617"/>
      <c r="I55" s="617"/>
      <c r="J55" s="786"/>
      <c r="L55" s="443"/>
    </row>
    <row r="56" spans="1:19" s="7" customFormat="1">
      <c r="A56" s="766" t="s">
        <v>1649</v>
      </c>
      <c r="B56" s="780" t="s">
        <v>917</v>
      </c>
      <c r="C56" s="623">
        <v>2</v>
      </c>
      <c r="D56" s="781" t="s">
        <v>37</v>
      </c>
      <c r="E56" s="623">
        <v>2800</v>
      </c>
      <c r="F56" s="625">
        <f t="shared" ref="F56:F57" si="21">ROUND(C56*E56,0)</f>
        <v>5600</v>
      </c>
      <c r="G56" s="623">
        <v>500</v>
      </c>
      <c r="H56" s="625">
        <f t="shared" ref="H56:H58" si="22">ROUND(C56*G56,0)</f>
        <v>1000</v>
      </c>
      <c r="I56" s="623">
        <f t="shared" ref="I56" si="23">F56+H56</f>
        <v>6600</v>
      </c>
      <c r="J56" s="787"/>
      <c r="L56" s="443" t="s">
        <v>925</v>
      </c>
      <c r="N56" s="7" t="s">
        <v>938</v>
      </c>
    </row>
    <row r="57" spans="1:19" s="7" customFormat="1">
      <c r="A57" s="760" t="s">
        <v>939</v>
      </c>
      <c r="B57" s="776" t="s">
        <v>940</v>
      </c>
      <c r="C57" s="617">
        <v>3</v>
      </c>
      <c r="D57" s="779" t="s">
        <v>37</v>
      </c>
      <c r="E57" s="617">
        <v>1215</v>
      </c>
      <c r="F57" s="579">
        <f t="shared" si="21"/>
        <v>3645</v>
      </c>
      <c r="G57" s="617">
        <v>100</v>
      </c>
      <c r="H57" s="579">
        <f t="shared" si="22"/>
        <v>300</v>
      </c>
      <c r="I57" s="617">
        <f>F57+H57</f>
        <v>3945</v>
      </c>
      <c r="J57" s="786"/>
      <c r="L57" s="443" t="s">
        <v>941</v>
      </c>
    </row>
    <row r="58" spans="1:19" s="7" customFormat="1">
      <c r="A58" s="760" t="s">
        <v>942</v>
      </c>
      <c r="B58" s="776" t="s">
        <v>943</v>
      </c>
      <c r="C58" s="617">
        <v>5</v>
      </c>
      <c r="D58" s="779" t="s">
        <v>277</v>
      </c>
      <c r="E58" s="617">
        <v>125</v>
      </c>
      <c r="F58" s="579">
        <f>ROUND(C58*E58,0)</f>
        <v>625</v>
      </c>
      <c r="G58" s="617">
        <v>25</v>
      </c>
      <c r="H58" s="579">
        <f t="shared" si="22"/>
        <v>125</v>
      </c>
      <c r="I58" s="617">
        <f>F58+H58</f>
        <v>750</v>
      </c>
      <c r="J58" s="786"/>
      <c r="L58" s="443" t="s">
        <v>944</v>
      </c>
    </row>
    <row r="59" spans="1:19" s="7" customFormat="1">
      <c r="A59" s="760" t="s">
        <v>945</v>
      </c>
      <c r="B59" s="776" t="s">
        <v>946</v>
      </c>
      <c r="C59" s="617"/>
      <c r="D59" s="779"/>
      <c r="E59" s="617"/>
      <c r="F59" s="579"/>
      <c r="G59" s="617"/>
      <c r="H59" s="579"/>
      <c r="I59" s="617"/>
      <c r="J59" s="786"/>
      <c r="L59" s="443" t="s">
        <v>947</v>
      </c>
    </row>
    <row r="60" spans="1:19" s="7" customFormat="1">
      <c r="A60" s="766" t="s">
        <v>1650</v>
      </c>
      <c r="B60" s="780" t="s">
        <v>910</v>
      </c>
      <c r="C60" s="623">
        <v>1</v>
      </c>
      <c r="D60" s="781" t="s">
        <v>37</v>
      </c>
      <c r="E60" s="623">
        <v>2400</v>
      </c>
      <c r="F60" s="625">
        <f>ROUND(C60*E60,0)</f>
        <v>2400</v>
      </c>
      <c r="G60" s="623">
        <v>100</v>
      </c>
      <c r="H60" s="625">
        <f>ROUND(C60*G60,0)</f>
        <v>100</v>
      </c>
      <c r="I60" s="623">
        <f>F60+H60</f>
        <v>2500</v>
      </c>
      <c r="J60" s="787"/>
      <c r="L60" s="443"/>
    </row>
    <row r="61" spans="1:19" s="453" customFormat="1">
      <c r="A61" s="788" t="s">
        <v>948</v>
      </c>
      <c r="B61" s="789" t="s">
        <v>949</v>
      </c>
      <c r="C61" s="790"/>
      <c r="D61" s="791"/>
      <c r="E61" s="792"/>
      <c r="F61" s="790"/>
      <c r="G61" s="792"/>
      <c r="H61" s="790"/>
      <c r="I61" s="792"/>
      <c r="J61" s="793"/>
      <c r="L61" s="43" t="s">
        <v>950</v>
      </c>
      <c r="M61" s="43" t="s">
        <v>790</v>
      </c>
      <c r="O61" s="7"/>
      <c r="P61" s="7"/>
      <c r="Q61" s="7"/>
      <c r="R61" s="7"/>
      <c r="S61" s="7"/>
    </row>
    <row r="62" spans="1:19" s="453" customFormat="1">
      <c r="A62" s="794" t="s">
        <v>1651</v>
      </c>
      <c r="B62" s="795" t="s">
        <v>910</v>
      </c>
      <c r="C62" s="796">
        <v>1</v>
      </c>
      <c r="D62" s="797" t="s">
        <v>91</v>
      </c>
      <c r="E62" s="798">
        <v>245</v>
      </c>
      <c r="F62" s="796">
        <f>C62*E62</f>
        <v>245</v>
      </c>
      <c r="G62" s="798">
        <v>100</v>
      </c>
      <c r="H62" s="796">
        <f>C62*G62</f>
        <v>100</v>
      </c>
      <c r="I62" s="798">
        <f>F62+H62</f>
        <v>345</v>
      </c>
      <c r="J62" s="799"/>
      <c r="L62" s="443"/>
      <c r="M62" s="43"/>
      <c r="O62" s="7"/>
      <c r="P62" s="7"/>
      <c r="Q62" s="7"/>
      <c r="R62" s="7"/>
    </row>
    <row r="63" spans="1:19" s="453" customFormat="1">
      <c r="A63" s="800"/>
      <c r="B63" s="801" t="s">
        <v>1301</v>
      </c>
      <c r="C63" s="802"/>
      <c r="D63" s="803"/>
      <c r="E63" s="804"/>
      <c r="F63" s="802"/>
      <c r="G63" s="804"/>
      <c r="H63" s="802"/>
      <c r="I63" s="805">
        <f>SUM(I16:I62)</f>
        <v>262213.39724999998</v>
      </c>
      <c r="J63" s="806"/>
      <c r="L63" s="443"/>
      <c r="M63" s="43"/>
      <c r="O63" s="7"/>
      <c r="P63" s="7"/>
      <c r="Q63" s="7"/>
      <c r="R63" s="7"/>
    </row>
    <row r="64" spans="1:19" s="7" customFormat="1">
      <c r="A64" s="754">
        <v>4.2</v>
      </c>
      <c r="B64" s="755" t="s">
        <v>951</v>
      </c>
      <c r="C64" s="756"/>
      <c r="D64" s="757"/>
      <c r="E64" s="758"/>
      <c r="F64" s="759"/>
      <c r="G64" s="759"/>
      <c r="H64" s="759"/>
      <c r="I64" s="759"/>
      <c r="J64" s="757"/>
      <c r="L64" s="443"/>
      <c r="S64" s="453"/>
    </row>
    <row r="65" spans="1:18" s="7" customFormat="1">
      <c r="A65" s="807" t="s">
        <v>952</v>
      </c>
      <c r="B65" s="808" t="s">
        <v>953</v>
      </c>
      <c r="C65" s="1147"/>
      <c r="D65" s="809"/>
      <c r="E65" s="810"/>
      <c r="F65" s="579"/>
      <c r="G65" s="810"/>
      <c r="H65" s="579"/>
      <c r="I65" s="579"/>
      <c r="J65" s="811"/>
      <c r="L65" s="443"/>
      <c r="R65" s="453"/>
    </row>
    <row r="66" spans="1:18" s="7" customFormat="1">
      <c r="A66" s="812" t="s">
        <v>1652</v>
      </c>
      <c r="B66" s="771" t="s">
        <v>954</v>
      </c>
      <c r="C66" s="1146">
        <v>1</v>
      </c>
      <c r="D66" s="813" t="s">
        <v>37</v>
      </c>
      <c r="E66" s="814">
        <v>400000</v>
      </c>
      <c r="F66" s="814">
        <f>C66*E66</f>
        <v>400000</v>
      </c>
      <c r="G66" s="815">
        <v>59440</v>
      </c>
      <c r="H66" s="625">
        <f t="shared" ref="H66:H72" si="24">C66*G66</f>
        <v>59440</v>
      </c>
      <c r="I66" s="625">
        <f t="shared" ref="I66" si="25">F66+H66</f>
        <v>459440</v>
      </c>
      <c r="J66" s="1438" t="s">
        <v>955</v>
      </c>
      <c r="L66" s="452" t="s">
        <v>944</v>
      </c>
      <c r="R66" s="453"/>
    </row>
    <row r="67" spans="1:18" s="7" customFormat="1">
      <c r="A67" s="812" t="s">
        <v>1653</v>
      </c>
      <c r="B67" s="771" t="s">
        <v>1401</v>
      </c>
      <c r="C67" s="1146"/>
      <c r="D67" s="813"/>
      <c r="E67" s="816"/>
      <c r="F67" s="816"/>
      <c r="G67" s="815"/>
      <c r="H67" s="625"/>
      <c r="I67" s="625"/>
      <c r="J67" s="1438"/>
      <c r="L67" s="452"/>
      <c r="R67" s="453"/>
    </row>
    <row r="68" spans="1:18" s="7" customFormat="1">
      <c r="A68" s="812" t="s">
        <v>1654</v>
      </c>
      <c r="B68" s="771" t="s">
        <v>1402</v>
      </c>
      <c r="C68" s="1146"/>
      <c r="D68" s="813"/>
      <c r="E68" s="816"/>
      <c r="F68" s="816"/>
      <c r="G68" s="815"/>
      <c r="H68" s="625"/>
      <c r="I68" s="625"/>
      <c r="J68" s="1438"/>
      <c r="L68" s="452"/>
      <c r="R68" s="453"/>
    </row>
    <row r="69" spans="1:18" s="7" customFormat="1">
      <c r="A69" s="812" t="s">
        <v>1655</v>
      </c>
      <c r="B69" s="771" t="s">
        <v>956</v>
      </c>
      <c r="C69" s="1146">
        <v>1</v>
      </c>
      <c r="D69" s="772" t="s">
        <v>43</v>
      </c>
      <c r="E69" s="1439" t="s">
        <v>900</v>
      </c>
      <c r="F69" s="1439"/>
      <c r="G69" s="1439"/>
      <c r="H69" s="1439"/>
      <c r="I69" s="773"/>
      <c r="J69" s="1438"/>
      <c r="L69" s="443"/>
      <c r="O69" s="453"/>
      <c r="P69" s="453"/>
      <c r="Q69" s="453"/>
    </row>
    <row r="70" spans="1:18" s="7" customFormat="1">
      <c r="A70" s="812" t="s">
        <v>1656</v>
      </c>
      <c r="B70" s="771" t="s">
        <v>957</v>
      </c>
      <c r="C70" s="1146">
        <v>1</v>
      </c>
      <c r="D70" s="772" t="s">
        <v>43</v>
      </c>
      <c r="E70" s="1439" t="s">
        <v>900</v>
      </c>
      <c r="F70" s="1439"/>
      <c r="G70" s="1439"/>
      <c r="H70" s="1439"/>
      <c r="I70" s="773"/>
      <c r="J70" s="817"/>
      <c r="L70" s="443"/>
      <c r="O70" s="453"/>
      <c r="P70" s="453"/>
      <c r="Q70" s="453"/>
    </row>
    <row r="71" spans="1:18" s="7" customFormat="1">
      <c r="A71" s="807" t="s">
        <v>958</v>
      </c>
      <c r="B71" s="808" t="s">
        <v>959</v>
      </c>
      <c r="C71" s="1147"/>
      <c r="D71" s="809"/>
      <c r="E71" s="810"/>
      <c r="F71" s="579"/>
      <c r="G71" s="810"/>
      <c r="H71" s="579"/>
      <c r="I71" s="579"/>
      <c r="J71" s="811"/>
      <c r="L71" s="443"/>
    </row>
    <row r="72" spans="1:18" s="7" customFormat="1">
      <c r="A72" s="812" t="s">
        <v>1657</v>
      </c>
      <c r="B72" s="771" t="s">
        <v>960</v>
      </c>
      <c r="C72" s="1146">
        <v>1</v>
      </c>
      <c r="D72" s="813" t="s">
        <v>37</v>
      </c>
      <c r="E72" s="814">
        <v>2490</v>
      </c>
      <c r="F72" s="814">
        <f>C72*E72</f>
        <v>2490</v>
      </c>
      <c r="G72" s="818">
        <v>700</v>
      </c>
      <c r="H72" s="625">
        <f t="shared" si="24"/>
        <v>700</v>
      </c>
      <c r="I72" s="625">
        <f t="shared" ref="I72" si="26">F72+H72</f>
        <v>3190</v>
      </c>
      <c r="J72" s="774"/>
      <c r="L72" s="452" t="s">
        <v>944</v>
      </c>
    </row>
    <row r="73" spans="1:18" s="7" customFormat="1">
      <c r="A73" s="760" t="s">
        <v>961</v>
      </c>
      <c r="B73" s="778" t="s">
        <v>962</v>
      </c>
      <c r="C73" s="617"/>
      <c r="D73" s="779"/>
      <c r="E73" s="617"/>
      <c r="F73" s="617"/>
      <c r="G73" s="617"/>
      <c r="H73" s="617"/>
      <c r="I73" s="617"/>
      <c r="J73" s="703"/>
      <c r="L73" s="443"/>
      <c r="N73" s="450" t="s">
        <v>907</v>
      </c>
    </row>
    <row r="74" spans="1:18" s="7" customFormat="1">
      <c r="A74" s="819" t="s">
        <v>1658</v>
      </c>
      <c r="B74" s="780" t="s">
        <v>915</v>
      </c>
      <c r="C74" s="623">
        <v>55</v>
      </c>
      <c r="D74" s="781" t="s">
        <v>394</v>
      </c>
      <c r="E74" s="623">
        <v>27.4</v>
      </c>
      <c r="F74" s="625">
        <f t="shared" ref="F74:F91" si="27">C74*E74</f>
        <v>1507</v>
      </c>
      <c r="G74" s="623">
        <v>30</v>
      </c>
      <c r="H74" s="625">
        <f t="shared" ref="H74:H91" si="28">C74*G74</f>
        <v>1650</v>
      </c>
      <c r="I74" s="623">
        <f t="shared" ref="I74:I81" si="29">F74+H74</f>
        <v>3157</v>
      </c>
      <c r="J74" s="782"/>
      <c r="L74" s="452" t="s">
        <v>963</v>
      </c>
      <c r="N74" s="436">
        <v>109.6</v>
      </c>
    </row>
    <row r="75" spans="1:18" s="7" customFormat="1">
      <c r="A75" s="819" t="s">
        <v>1659</v>
      </c>
      <c r="B75" s="780" t="s">
        <v>916</v>
      </c>
      <c r="C75" s="623">
        <v>223</v>
      </c>
      <c r="D75" s="781" t="s">
        <v>394</v>
      </c>
      <c r="E75" s="623">
        <v>43.2</v>
      </c>
      <c r="F75" s="625">
        <f t="shared" si="27"/>
        <v>9633.6</v>
      </c>
      <c r="G75" s="623">
        <v>40</v>
      </c>
      <c r="H75" s="625">
        <f t="shared" si="28"/>
        <v>8920</v>
      </c>
      <c r="I75" s="623">
        <f t="shared" si="29"/>
        <v>18553.599999999999</v>
      </c>
      <c r="J75" s="782"/>
      <c r="L75" s="452" t="s">
        <v>963</v>
      </c>
      <c r="N75" s="436">
        <v>172.8</v>
      </c>
    </row>
    <row r="76" spans="1:18" s="7" customFormat="1">
      <c r="A76" s="819" t="s">
        <v>1660</v>
      </c>
      <c r="B76" s="780" t="s">
        <v>917</v>
      </c>
      <c r="C76" s="623">
        <v>9</v>
      </c>
      <c r="D76" s="781" t="s">
        <v>394</v>
      </c>
      <c r="E76" s="623">
        <v>68.400000000000006</v>
      </c>
      <c r="F76" s="625">
        <f t="shared" si="27"/>
        <v>615.6</v>
      </c>
      <c r="G76" s="623">
        <v>50</v>
      </c>
      <c r="H76" s="625">
        <f t="shared" si="28"/>
        <v>450</v>
      </c>
      <c r="I76" s="623">
        <f t="shared" si="29"/>
        <v>1065.5999999999999</v>
      </c>
      <c r="J76" s="782"/>
      <c r="L76" s="452" t="s">
        <v>963</v>
      </c>
      <c r="N76" s="436">
        <v>273.60000000000002</v>
      </c>
    </row>
    <row r="77" spans="1:18" s="7" customFormat="1">
      <c r="A77" s="819" t="s">
        <v>1661</v>
      </c>
      <c r="B77" s="780" t="s">
        <v>964</v>
      </c>
      <c r="C77" s="623">
        <v>99</v>
      </c>
      <c r="D77" s="781" t="s">
        <v>394</v>
      </c>
      <c r="E77" s="623">
        <v>153.6</v>
      </c>
      <c r="F77" s="625">
        <f t="shared" si="27"/>
        <v>15206.4</v>
      </c>
      <c r="G77" s="623">
        <v>100</v>
      </c>
      <c r="H77" s="625">
        <f t="shared" si="28"/>
        <v>9900</v>
      </c>
      <c r="I77" s="623">
        <f t="shared" si="29"/>
        <v>25106.400000000001</v>
      </c>
      <c r="J77" s="782"/>
      <c r="L77" s="452" t="s">
        <v>963</v>
      </c>
      <c r="N77" s="436">
        <v>614.4</v>
      </c>
    </row>
    <row r="78" spans="1:18" s="7" customFormat="1">
      <c r="A78" s="819" t="s">
        <v>1662</v>
      </c>
      <c r="B78" s="780" t="s">
        <v>965</v>
      </c>
      <c r="C78" s="623">
        <v>24</v>
      </c>
      <c r="D78" s="781" t="s">
        <v>394</v>
      </c>
      <c r="E78" s="623">
        <v>232</v>
      </c>
      <c r="F78" s="625">
        <f t="shared" si="27"/>
        <v>5568</v>
      </c>
      <c r="G78" s="623">
        <v>200</v>
      </c>
      <c r="H78" s="625">
        <f t="shared" si="28"/>
        <v>4800</v>
      </c>
      <c r="I78" s="623">
        <f t="shared" si="29"/>
        <v>10368</v>
      </c>
      <c r="J78" s="782"/>
      <c r="L78" s="452" t="s">
        <v>963</v>
      </c>
      <c r="N78" s="436">
        <v>928</v>
      </c>
      <c r="O78" s="450" t="s">
        <v>908</v>
      </c>
    </row>
    <row r="79" spans="1:18" s="7" customFormat="1">
      <c r="A79" s="819" t="s">
        <v>1663</v>
      </c>
      <c r="B79" s="783" t="s">
        <v>785</v>
      </c>
      <c r="C79" s="623">
        <v>1</v>
      </c>
      <c r="D79" s="781" t="s">
        <v>40</v>
      </c>
      <c r="E79" s="624">
        <f>SUM(F74:F78)*40%</f>
        <v>13012.24</v>
      </c>
      <c r="F79" s="625">
        <f t="shared" si="27"/>
        <v>13012.24</v>
      </c>
      <c r="G79" s="624">
        <f>F79*30%</f>
        <v>3903.6719999999996</v>
      </c>
      <c r="H79" s="625">
        <f t="shared" si="28"/>
        <v>3903.6719999999996</v>
      </c>
      <c r="I79" s="623">
        <f t="shared" si="29"/>
        <v>16915.912</v>
      </c>
      <c r="J79" s="782"/>
      <c r="L79" s="443"/>
      <c r="O79" s="445">
        <f t="shared" ref="O79:O83" si="30">N74/4</f>
        <v>27.4</v>
      </c>
      <c r="P79" s="52" t="s">
        <v>915</v>
      </c>
    </row>
    <row r="80" spans="1:18" s="7" customFormat="1">
      <c r="A80" s="819" t="s">
        <v>1664</v>
      </c>
      <c r="B80" s="783" t="s">
        <v>786</v>
      </c>
      <c r="C80" s="623">
        <v>1</v>
      </c>
      <c r="D80" s="781" t="s">
        <v>40</v>
      </c>
      <c r="E80" s="624">
        <f>SUM(F74:F78)*30%</f>
        <v>9759.1799999999985</v>
      </c>
      <c r="F80" s="625">
        <f t="shared" si="27"/>
        <v>9759.1799999999985</v>
      </c>
      <c r="G80" s="624">
        <f>F80*30%</f>
        <v>2927.7539999999995</v>
      </c>
      <c r="H80" s="625">
        <f t="shared" si="28"/>
        <v>2927.7539999999995</v>
      </c>
      <c r="I80" s="623">
        <f t="shared" si="29"/>
        <v>12686.933999999997</v>
      </c>
      <c r="J80" s="782"/>
      <c r="L80" s="443"/>
      <c r="O80" s="445">
        <f t="shared" si="30"/>
        <v>43.2</v>
      </c>
      <c r="P80" s="52" t="s">
        <v>916</v>
      </c>
    </row>
    <row r="81" spans="1:16" s="7" customFormat="1">
      <c r="A81" s="819" t="s">
        <v>1665</v>
      </c>
      <c r="B81" s="784" t="s">
        <v>820</v>
      </c>
      <c r="C81" s="623">
        <v>1</v>
      </c>
      <c r="D81" s="781" t="s">
        <v>40</v>
      </c>
      <c r="E81" s="624">
        <f>SUM(F74:F78)*10%</f>
        <v>3253.06</v>
      </c>
      <c r="F81" s="625">
        <f t="shared" si="27"/>
        <v>3253.06</v>
      </c>
      <c r="G81" s="624">
        <f>F81*30%</f>
        <v>975.91799999999989</v>
      </c>
      <c r="H81" s="625">
        <f t="shared" si="28"/>
        <v>975.91799999999989</v>
      </c>
      <c r="I81" s="623">
        <f t="shared" si="29"/>
        <v>4228.9780000000001</v>
      </c>
      <c r="J81" s="782"/>
      <c r="L81" s="443"/>
      <c r="O81" s="445">
        <f t="shared" si="30"/>
        <v>68.400000000000006</v>
      </c>
      <c r="P81" s="52" t="s">
        <v>917</v>
      </c>
    </row>
    <row r="82" spans="1:16" s="7" customFormat="1">
      <c r="A82" s="807" t="s">
        <v>966</v>
      </c>
      <c r="B82" s="778" t="s">
        <v>967</v>
      </c>
      <c r="C82" s="617"/>
      <c r="D82" s="779"/>
      <c r="E82" s="617"/>
      <c r="F82" s="617"/>
      <c r="G82" s="617"/>
      <c r="H82" s="820"/>
      <c r="I82" s="617"/>
      <c r="J82" s="703"/>
      <c r="L82" s="454" t="s">
        <v>968</v>
      </c>
      <c r="M82" s="443"/>
      <c r="N82" s="7" t="s">
        <v>938</v>
      </c>
      <c r="O82" s="445">
        <f t="shared" si="30"/>
        <v>153.6</v>
      </c>
      <c r="P82" s="52" t="s">
        <v>964</v>
      </c>
    </row>
    <row r="83" spans="1:16" s="7" customFormat="1">
      <c r="A83" s="812" t="s">
        <v>1666</v>
      </c>
      <c r="B83" s="780" t="s">
        <v>916</v>
      </c>
      <c r="C83" s="623">
        <v>6</v>
      </c>
      <c r="D83" s="781" t="s">
        <v>37</v>
      </c>
      <c r="E83" s="623">
        <f>449+226</f>
        <v>675</v>
      </c>
      <c r="F83" s="625">
        <f t="shared" si="27"/>
        <v>4050</v>
      </c>
      <c r="G83" s="623">
        <v>200</v>
      </c>
      <c r="H83" s="625">
        <f t="shared" si="28"/>
        <v>1200</v>
      </c>
      <c r="I83" s="623">
        <f>F83+H83</f>
        <v>5250</v>
      </c>
      <c r="J83" s="782"/>
      <c r="L83" s="443" t="s">
        <v>969</v>
      </c>
      <c r="O83" s="445">
        <f t="shared" si="30"/>
        <v>232</v>
      </c>
      <c r="P83" s="52" t="s">
        <v>965</v>
      </c>
    </row>
    <row r="84" spans="1:16" s="7" customFormat="1">
      <c r="A84" s="807" t="s">
        <v>970</v>
      </c>
      <c r="B84" s="776" t="s">
        <v>971</v>
      </c>
      <c r="C84" s="617"/>
      <c r="D84" s="779"/>
      <c r="E84" s="617"/>
      <c r="F84" s="617"/>
      <c r="G84" s="617"/>
      <c r="H84" s="617"/>
      <c r="I84" s="617"/>
      <c r="J84" s="703"/>
      <c r="L84" s="454" t="s">
        <v>972</v>
      </c>
      <c r="N84" s="7" t="s">
        <v>938</v>
      </c>
    </row>
    <row r="85" spans="1:16" s="7" customFormat="1">
      <c r="A85" s="812" t="s">
        <v>1667</v>
      </c>
      <c r="B85" s="780" t="s">
        <v>916</v>
      </c>
      <c r="C85" s="623">
        <v>5</v>
      </c>
      <c r="D85" s="781" t="s">
        <v>37</v>
      </c>
      <c r="E85" s="623">
        <v>517</v>
      </c>
      <c r="F85" s="625">
        <f t="shared" si="27"/>
        <v>2585</v>
      </c>
      <c r="G85" s="623">
        <v>200</v>
      </c>
      <c r="H85" s="625">
        <f t="shared" si="28"/>
        <v>1000</v>
      </c>
      <c r="I85" s="623">
        <f>F85+H85</f>
        <v>3585</v>
      </c>
      <c r="J85" s="782"/>
      <c r="L85" s="443"/>
    </row>
    <row r="86" spans="1:16" s="7" customFormat="1">
      <c r="A86" s="807" t="s">
        <v>973</v>
      </c>
      <c r="B86" s="776" t="s">
        <v>974</v>
      </c>
      <c r="C86" s="617"/>
      <c r="D86" s="779"/>
      <c r="E86" s="617"/>
      <c r="F86" s="617"/>
      <c r="G86" s="617"/>
      <c r="H86" s="617"/>
      <c r="I86" s="617"/>
      <c r="J86" s="703"/>
      <c r="L86" s="443"/>
    </row>
    <row r="87" spans="1:16" s="7" customFormat="1">
      <c r="A87" s="812" t="s">
        <v>1668</v>
      </c>
      <c r="B87" s="780" t="s">
        <v>916</v>
      </c>
      <c r="C87" s="623">
        <v>4</v>
      </c>
      <c r="D87" s="781" t="s">
        <v>37</v>
      </c>
      <c r="E87" s="623">
        <v>834</v>
      </c>
      <c r="F87" s="625">
        <f t="shared" si="27"/>
        <v>3336</v>
      </c>
      <c r="G87" s="623">
        <v>200</v>
      </c>
      <c r="H87" s="625">
        <f t="shared" si="28"/>
        <v>800</v>
      </c>
      <c r="I87" s="623">
        <f>F87+H87</f>
        <v>4136</v>
      </c>
      <c r="J87" s="782"/>
      <c r="L87" s="452" t="s">
        <v>975</v>
      </c>
      <c r="N87" s="7" t="s">
        <v>938</v>
      </c>
    </row>
    <row r="88" spans="1:16" s="7" customFormat="1">
      <c r="A88" s="812" t="s">
        <v>1669</v>
      </c>
      <c r="B88" s="780" t="s">
        <v>964</v>
      </c>
      <c r="C88" s="623">
        <v>4</v>
      </c>
      <c r="D88" s="781" t="s">
        <v>37</v>
      </c>
      <c r="E88" s="623">
        <v>993</v>
      </c>
      <c r="F88" s="625">
        <f t="shared" si="27"/>
        <v>3972</v>
      </c>
      <c r="G88" s="623">
        <v>400</v>
      </c>
      <c r="H88" s="625">
        <f t="shared" si="28"/>
        <v>1600</v>
      </c>
      <c r="I88" s="623">
        <f>F88+H88</f>
        <v>5572</v>
      </c>
      <c r="J88" s="782"/>
      <c r="L88" s="452" t="s">
        <v>975</v>
      </c>
    </row>
    <row r="89" spans="1:16" s="7" customFormat="1">
      <c r="A89" s="812" t="s">
        <v>1670</v>
      </c>
      <c r="B89" s="780" t="s">
        <v>965</v>
      </c>
      <c r="C89" s="623">
        <v>1</v>
      </c>
      <c r="D89" s="781" t="s">
        <v>37</v>
      </c>
      <c r="E89" s="623">
        <v>1692</v>
      </c>
      <c r="F89" s="625">
        <f t="shared" si="27"/>
        <v>1692</v>
      </c>
      <c r="G89" s="623">
        <v>600</v>
      </c>
      <c r="H89" s="625">
        <f t="shared" si="28"/>
        <v>600</v>
      </c>
      <c r="I89" s="623">
        <f>F89+H89</f>
        <v>2292</v>
      </c>
      <c r="J89" s="782"/>
      <c r="L89" s="452" t="s">
        <v>975</v>
      </c>
    </row>
    <row r="90" spans="1:16" s="7" customFormat="1">
      <c r="A90" s="807" t="s">
        <v>976</v>
      </c>
      <c r="B90" s="821" t="s">
        <v>977</v>
      </c>
      <c r="C90" s="617"/>
      <c r="D90" s="779"/>
      <c r="E90" s="617"/>
      <c r="F90" s="617"/>
      <c r="G90" s="617"/>
      <c r="H90" s="617"/>
      <c r="I90" s="617"/>
      <c r="J90" s="703"/>
    </row>
    <row r="91" spans="1:16" s="7" customFormat="1">
      <c r="A91" s="812" t="s">
        <v>1671</v>
      </c>
      <c r="B91" s="780" t="s">
        <v>964</v>
      </c>
      <c r="C91" s="623">
        <v>2</v>
      </c>
      <c r="D91" s="781" t="s">
        <v>37</v>
      </c>
      <c r="E91" s="623">
        <v>190</v>
      </c>
      <c r="F91" s="625">
        <f t="shared" si="27"/>
        <v>380</v>
      </c>
      <c r="G91" s="623">
        <v>200</v>
      </c>
      <c r="H91" s="625">
        <f t="shared" si="28"/>
        <v>400</v>
      </c>
      <c r="I91" s="623">
        <f t="shared" ref="I91" si="31">F91+H91</f>
        <v>780</v>
      </c>
      <c r="J91" s="782"/>
      <c r="L91" s="454" t="s">
        <v>978</v>
      </c>
      <c r="N91" s="7" t="s">
        <v>938</v>
      </c>
    </row>
    <row r="92" spans="1:16" s="7" customFormat="1">
      <c r="A92" s="807" t="s">
        <v>979</v>
      </c>
      <c r="B92" s="776" t="s">
        <v>980</v>
      </c>
      <c r="C92" s="617"/>
      <c r="D92" s="779"/>
      <c r="E92" s="617"/>
      <c r="F92" s="617"/>
      <c r="G92" s="617"/>
      <c r="H92" s="617"/>
      <c r="I92" s="617"/>
      <c r="J92" s="703"/>
    </row>
    <row r="93" spans="1:16" s="7" customFormat="1">
      <c r="A93" s="812" t="s">
        <v>1672</v>
      </c>
      <c r="B93" s="780" t="s">
        <v>916</v>
      </c>
      <c r="C93" s="623">
        <v>2</v>
      </c>
      <c r="D93" s="781" t="s">
        <v>37</v>
      </c>
      <c r="E93" s="623">
        <v>290</v>
      </c>
      <c r="F93" s="625">
        <f>ROUND(C93*E93,0)</f>
        <v>580</v>
      </c>
      <c r="G93" s="623">
        <v>200</v>
      </c>
      <c r="H93" s="625">
        <f>ROUND(C93*G93,0)</f>
        <v>400</v>
      </c>
      <c r="I93" s="623">
        <f>F93+H93</f>
        <v>980</v>
      </c>
      <c r="J93" s="782"/>
      <c r="L93" s="454" t="s">
        <v>981</v>
      </c>
      <c r="N93" s="7" t="s">
        <v>938</v>
      </c>
    </row>
    <row r="94" spans="1:16" s="7" customFormat="1">
      <c r="A94" s="812" t="s">
        <v>1673</v>
      </c>
      <c r="B94" s="780" t="s">
        <v>917</v>
      </c>
      <c r="C94" s="623">
        <v>1</v>
      </c>
      <c r="D94" s="781" t="s">
        <v>37</v>
      </c>
      <c r="E94" s="623">
        <v>600</v>
      </c>
      <c r="F94" s="625">
        <f>ROUND(C94*E94,0)</f>
        <v>600</v>
      </c>
      <c r="G94" s="623">
        <v>250</v>
      </c>
      <c r="H94" s="625">
        <f>ROUND(C94*G94,0)</f>
        <v>250</v>
      </c>
      <c r="I94" s="623">
        <f>F94+H94</f>
        <v>850</v>
      </c>
      <c r="J94" s="782"/>
      <c r="L94" s="454" t="s">
        <v>981</v>
      </c>
    </row>
    <row r="95" spans="1:16" s="7" customFormat="1">
      <c r="A95" s="807" t="s">
        <v>982</v>
      </c>
      <c r="B95" s="776" t="s">
        <v>983</v>
      </c>
      <c r="C95" s="822"/>
      <c r="D95" s="779"/>
      <c r="E95" s="823"/>
      <c r="F95" s="824"/>
      <c r="G95" s="824"/>
      <c r="H95" s="824"/>
      <c r="I95" s="824"/>
      <c r="J95" s="786"/>
      <c r="L95" s="443"/>
    </row>
    <row r="96" spans="1:16" s="7" customFormat="1">
      <c r="A96" s="812" t="s">
        <v>1674</v>
      </c>
      <c r="B96" s="780" t="s">
        <v>965</v>
      </c>
      <c r="C96" s="623">
        <v>3</v>
      </c>
      <c r="D96" s="781" t="s">
        <v>37</v>
      </c>
      <c r="E96" s="623">
        <v>2780</v>
      </c>
      <c r="F96" s="625">
        <f t="shared" ref="F96" si="32">ROUND(C96*E96,0)</f>
        <v>8340</v>
      </c>
      <c r="G96" s="623">
        <v>300</v>
      </c>
      <c r="H96" s="625">
        <f t="shared" ref="H96" si="33">ROUND(C96*G96,0)</f>
        <v>900</v>
      </c>
      <c r="I96" s="623">
        <f t="shared" ref="I96" si="34">F96+H96</f>
        <v>9240</v>
      </c>
      <c r="J96" s="787" t="s">
        <v>984</v>
      </c>
      <c r="L96" s="452" t="s">
        <v>985</v>
      </c>
      <c r="N96" s="7" t="s">
        <v>938</v>
      </c>
    </row>
    <row r="97" spans="1:16" s="7" customFormat="1" ht="39.75" customHeight="1">
      <c r="A97" s="825"/>
      <c r="B97" s="826" t="s">
        <v>1302</v>
      </c>
      <c r="C97" s="635"/>
      <c r="D97" s="827"/>
      <c r="E97" s="635"/>
      <c r="F97" s="637"/>
      <c r="G97" s="635"/>
      <c r="H97" s="637"/>
      <c r="I97" s="828">
        <f>SUM(I65:I96)</f>
        <v>587397.424</v>
      </c>
      <c r="J97" s="829"/>
      <c r="L97" s="452"/>
    </row>
    <row r="98" spans="1:16" s="7" customFormat="1">
      <c r="A98" s="678">
        <v>4.3</v>
      </c>
      <c r="B98" s="830" t="s">
        <v>986</v>
      </c>
      <c r="C98" s="831"/>
      <c r="D98" s="681"/>
      <c r="E98" s="831"/>
      <c r="F98" s="831"/>
      <c r="G98" s="831"/>
      <c r="H98" s="831"/>
      <c r="I98" s="831"/>
      <c r="J98" s="832"/>
      <c r="L98" s="443"/>
    </row>
    <row r="99" spans="1:16" s="7" customFormat="1">
      <c r="A99" s="557"/>
      <c r="B99" s="677" t="s">
        <v>987</v>
      </c>
      <c r="C99" s="664"/>
      <c r="D99" s="657"/>
      <c r="E99" s="833"/>
      <c r="F99" s="664"/>
      <c r="G99" s="833"/>
      <c r="H99" s="664"/>
      <c r="I99" s="664"/>
      <c r="J99" s="436"/>
    </row>
    <row r="100" spans="1:16" s="7" customFormat="1">
      <c r="A100" s="760" t="s">
        <v>988</v>
      </c>
      <c r="B100" s="778" t="s">
        <v>962</v>
      </c>
      <c r="C100" s="617"/>
      <c r="D100" s="779"/>
      <c r="E100" s="617"/>
      <c r="F100" s="617"/>
      <c r="G100" s="617"/>
      <c r="H100" s="617"/>
      <c r="I100" s="617"/>
      <c r="J100" s="703"/>
      <c r="L100" s="443"/>
      <c r="N100" s="450" t="s">
        <v>907</v>
      </c>
    </row>
    <row r="101" spans="1:16" s="7" customFormat="1">
      <c r="A101" s="766" t="s">
        <v>1675</v>
      </c>
      <c r="B101" s="780" t="s">
        <v>964</v>
      </c>
      <c r="C101" s="623">
        <v>124</v>
      </c>
      <c r="D101" s="781" t="s">
        <v>394</v>
      </c>
      <c r="E101" s="623">
        <v>153.6</v>
      </c>
      <c r="F101" s="625">
        <f t="shared" ref="F101:F105" si="35">ROUND(C101*E101,0)</f>
        <v>19046</v>
      </c>
      <c r="G101" s="623">
        <v>100</v>
      </c>
      <c r="H101" s="625">
        <f t="shared" ref="H101:H105" si="36">ROUND(C101*G101,0)</f>
        <v>12400</v>
      </c>
      <c r="I101" s="623">
        <f t="shared" ref="I101:I105" si="37">F101+H101</f>
        <v>31446</v>
      </c>
      <c r="J101" s="782"/>
      <c r="L101" s="452" t="s">
        <v>963</v>
      </c>
      <c r="N101" s="436">
        <v>614.4</v>
      </c>
    </row>
    <row r="102" spans="1:16" s="7" customFormat="1">
      <c r="A102" s="766" t="s">
        <v>1676</v>
      </c>
      <c r="B102" s="780" t="s">
        <v>965</v>
      </c>
      <c r="C102" s="623">
        <v>60</v>
      </c>
      <c r="D102" s="781" t="s">
        <v>394</v>
      </c>
      <c r="E102" s="623">
        <v>232</v>
      </c>
      <c r="F102" s="625">
        <f t="shared" si="35"/>
        <v>13920</v>
      </c>
      <c r="G102" s="623">
        <v>200</v>
      </c>
      <c r="H102" s="625">
        <f t="shared" si="36"/>
        <v>12000</v>
      </c>
      <c r="I102" s="623">
        <f t="shared" si="37"/>
        <v>25920</v>
      </c>
      <c r="J102" s="782"/>
      <c r="L102" s="452" t="s">
        <v>963</v>
      </c>
      <c r="N102" s="436">
        <v>928</v>
      </c>
    </row>
    <row r="103" spans="1:16" s="7" customFormat="1">
      <c r="A103" s="766" t="s">
        <v>1677</v>
      </c>
      <c r="B103" s="783" t="s">
        <v>785</v>
      </c>
      <c r="C103" s="623">
        <v>1</v>
      </c>
      <c r="D103" s="781" t="s">
        <v>40</v>
      </c>
      <c r="E103" s="624">
        <f>ROUND((SUM(F101:F102)*40%),2)</f>
        <v>13186.4</v>
      </c>
      <c r="F103" s="625">
        <f t="shared" si="35"/>
        <v>13186</v>
      </c>
      <c r="G103" s="624">
        <f>ROUND((F103*30%),2)</f>
        <v>3955.8</v>
      </c>
      <c r="H103" s="625">
        <f t="shared" si="36"/>
        <v>3956</v>
      </c>
      <c r="I103" s="623">
        <f t="shared" si="37"/>
        <v>17142</v>
      </c>
      <c r="J103" s="782"/>
      <c r="L103" s="443"/>
    </row>
    <row r="104" spans="1:16" s="7" customFormat="1">
      <c r="A104" s="766" t="s">
        <v>1678</v>
      </c>
      <c r="B104" s="783" t="s">
        <v>786</v>
      </c>
      <c r="C104" s="623">
        <v>1</v>
      </c>
      <c r="D104" s="781" t="s">
        <v>40</v>
      </c>
      <c r="E104" s="624">
        <f>ROUND((SUM(F101:F102)*30%),2)</f>
        <v>9889.7999999999993</v>
      </c>
      <c r="F104" s="625">
        <f t="shared" si="35"/>
        <v>9890</v>
      </c>
      <c r="G104" s="624">
        <f>ROUND((F104*30%),2)</f>
        <v>2967</v>
      </c>
      <c r="H104" s="625">
        <f t="shared" si="36"/>
        <v>2967</v>
      </c>
      <c r="I104" s="623">
        <f t="shared" si="37"/>
        <v>12857</v>
      </c>
      <c r="J104" s="782"/>
      <c r="L104" s="443"/>
    </row>
    <row r="105" spans="1:16" s="7" customFormat="1">
      <c r="A105" s="766" t="s">
        <v>1679</v>
      </c>
      <c r="B105" s="784" t="s">
        <v>820</v>
      </c>
      <c r="C105" s="623">
        <v>1</v>
      </c>
      <c r="D105" s="781" t="s">
        <v>40</v>
      </c>
      <c r="E105" s="624">
        <f>ROUND((SUM(F101:F102)*10%),2)</f>
        <v>3296.6</v>
      </c>
      <c r="F105" s="625">
        <f t="shared" si="35"/>
        <v>3297</v>
      </c>
      <c r="G105" s="624">
        <f>ROUND((F105*30%),2)</f>
        <v>989.1</v>
      </c>
      <c r="H105" s="625">
        <f t="shared" si="36"/>
        <v>989</v>
      </c>
      <c r="I105" s="623">
        <f t="shared" si="37"/>
        <v>4286</v>
      </c>
      <c r="J105" s="782"/>
      <c r="L105" s="443"/>
      <c r="O105" s="450" t="s">
        <v>908</v>
      </c>
    </row>
    <row r="106" spans="1:16" s="7" customFormat="1">
      <c r="A106" s="834" t="s">
        <v>989</v>
      </c>
      <c r="B106" s="776" t="s">
        <v>990</v>
      </c>
      <c r="C106" s="617"/>
      <c r="D106" s="779"/>
      <c r="E106" s="617"/>
      <c r="F106" s="617"/>
      <c r="G106" s="617"/>
      <c r="H106" s="617"/>
      <c r="I106" s="617"/>
      <c r="J106" s="835"/>
      <c r="O106" s="445">
        <f t="shared" ref="O106:O107" si="38">N101/4</f>
        <v>153.6</v>
      </c>
      <c r="P106" s="52" t="s">
        <v>964</v>
      </c>
    </row>
    <row r="107" spans="1:16" s="7" customFormat="1">
      <c r="A107" s="812" t="s">
        <v>1680</v>
      </c>
      <c r="B107" s="780" t="s">
        <v>964</v>
      </c>
      <c r="C107" s="623">
        <v>17</v>
      </c>
      <c r="D107" s="781" t="s">
        <v>37</v>
      </c>
      <c r="E107" s="623">
        <v>783</v>
      </c>
      <c r="F107" s="625">
        <f t="shared" ref="F107" si="39">ROUND(C107*E107,0)</f>
        <v>13311</v>
      </c>
      <c r="G107" s="623">
        <v>400</v>
      </c>
      <c r="H107" s="625">
        <f>ROUND(C107*G107,0)</f>
        <v>6800</v>
      </c>
      <c r="I107" s="623">
        <f>F107+H107</f>
        <v>20111</v>
      </c>
      <c r="J107" s="782"/>
      <c r="L107" s="454" t="s">
        <v>991</v>
      </c>
      <c r="N107" s="7" t="s">
        <v>938</v>
      </c>
      <c r="O107" s="445">
        <f t="shared" si="38"/>
        <v>232</v>
      </c>
      <c r="P107" s="52" t="s">
        <v>965</v>
      </c>
    </row>
    <row r="108" spans="1:16" s="7" customFormat="1">
      <c r="A108" s="807" t="s">
        <v>992</v>
      </c>
      <c r="B108" s="776" t="s">
        <v>983</v>
      </c>
      <c r="C108" s="822"/>
      <c r="D108" s="779"/>
      <c r="E108" s="823"/>
      <c r="F108" s="824"/>
      <c r="G108" s="824"/>
      <c r="H108" s="824"/>
      <c r="I108" s="824"/>
      <c r="J108" s="786"/>
      <c r="L108" s="443"/>
    </row>
    <row r="109" spans="1:16" s="7" customFormat="1">
      <c r="A109" s="812" t="s">
        <v>1681</v>
      </c>
      <c r="B109" s="780" t="s">
        <v>964</v>
      </c>
      <c r="C109" s="623">
        <v>1</v>
      </c>
      <c r="D109" s="781" t="s">
        <v>37</v>
      </c>
      <c r="E109" s="623">
        <v>1290</v>
      </c>
      <c r="F109" s="625">
        <f t="shared" ref="F109:F110" si="40">ROUND(C109*E109,0)</f>
        <v>1290</v>
      </c>
      <c r="G109" s="623">
        <v>200</v>
      </c>
      <c r="H109" s="625">
        <f t="shared" ref="H109:H110" si="41">ROUND(C109*G109,0)</f>
        <v>200</v>
      </c>
      <c r="I109" s="623">
        <f t="shared" ref="I109:I110" si="42">F109+H109</f>
        <v>1490</v>
      </c>
      <c r="J109" s="787" t="s">
        <v>984</v>
      </c>
      <c r="L109" s="452" t="s">
        <v>985</v>
      </c>
      <c r="N109" s="7" t="s">
        <v>938</v>
      </c>
    </row>
    <row r="110" spans="1:16" s="7" customFormat="1">
      <c r="A110" s="812" t="s">
        <v>1682</v>
      </c>
      <c r="B110" s="780" t="s">
        <v>965</v>
      </c>
      <c r="C110" s="623">
        <v>2</v>
      </c>
      <c r="D110" s="781" t="s">
        <v>37</v>
      </c>
      <c r="E110" s="623">
        <v>1830</v>
      </c>
      <c r="F110" s="625">
        <f t="shared" si="40"/>
        <v>3660</v>
      </c>
      <c r="G110" s="623">
        <v>300</v>
      </c>
      <c r="H110" s="625">
        <f t="shared" si="41"/>
        <v>600</v>
      </c>
      <c r="I110" s="623">
        <f t="shared" si="42"/>
        <v>4260</v>
      </c>
      <c r="J110" s="787" t="s">
        <v>984</v>
      </c>
      <c r="L110" s="452" t="s">
        <v>985</v>
      </c>
    </row>
    <row r="111" spans="1:16" s="7" customFormat="1" ht="48">
      <c r="A111" s="825"/>
      <c r="B111" s="642" t="s">
        <v>1303</v>
      </c>
      <c r="C111" s="635"/>
      <c r="D111" s="827"/>
      <c r="E111" s="635"/>
      <c r="F111" s="637"/>
      <c r="G111" s="635"/>
      <c r="H111" s="637"/>
      <c r="I111" s="828">
        <f>SUM(I101:I110)</f>
        <v>117512</v>
      </c>
      <c r="J111" s="829"/>
      <c r="L111" s="452"/>
    </row>
    <row r="112" spans="1:16" s="7" customFormat="1">
      <c r="A112" s="568">
        <v>4.4000000000000004</v>
      </c>
      <c r="B112" s="836" t="s">
        <v>993</v>
      </c>
      <c r="C112" s="831"/>
      <c r="D112" s="681"/>
      <c r="E112" s="831"/>
      <c r="F112" s="837"/>
      <c r="G112" s="831"/>
      <c r="H112" s="837"/>
      <c r="I112" s="831"/>
      <c r="J112" s="757"/>
      <c r="L112" s="443"/>
    </row>
    <row r="113" spans="1:22" s="7" customFormat="1">
      <c r="A113" s="574" t="s">
        <v>1005</v>
      </c>
      <c r="B113" s="838" t="s">
        <v>994</v>
      </c>
      <c r="C113" s="1147"/>
      <c r="D113" s="809"/>
      <c r="E113" s="810"/>
      <c r="F113" s="579"/>
      <c r="G113" s="810"/>
      <c r="H113" s="579"/>
      <c r="I113" s="579"/>
      <c r="J113" s="811"/>
      <c r="L113" s="443"/>
    </row>
    <row r="114" spans="1:22" s="7" customFormat="1">
      <c r="A114" s="812" t="s">
        <v>1683</v>
      </c>
      <c r="B114" s="771" t="s">
        <v>995</v>
      </c>
      <c r="C114" s="1146">
        <v>81</v>
      </c>
      <c r="D114" s="813" t="s">
        <v>74</v>
      </c>
      <c r="E114" s="818">
        <v>353.51</v>
      </c>
      <c r="F114" s="625">
        <f>ROUND(C114*E114,0)</f>
        <v>28634</v>
      </c>
      <c r="G114" s="818">
        <f>E114*0.3</f>
        <v>106.053</v>
      </c>
      <c r="H114" s="625">
        <f t="shared" ref="H114" si="43">ROUND(C114*G114,0)</f>
        <v>8590</v>
      </c>
      <c r="I114" s="625">
        <f>F114+H114</f>
        <v>37224</v>
      </c>
      <c r="J114" s="774"/>
      <c r="L114" s="452" t="s">
        <v>996</v>
      </c>
      <c r="N114" s="7" t="s">
        <v>997</v>
      </c>
    </row>
    <row r="115" spans="1:22" s="7" customFormat="1">
      <c r="A115" s="574" t="s">
        <v>1007</v>
      </c>
      <c r="B115" s="776" t="s">
        <v>998</v>
      </c>
      <c r="C115" s="617"/>
      <c r="D115" s="839"/>
      <c r="E115" s="840"/>
      <c r="F115" s="579"/>
      <c r="G115" s="840"/>
      <c r="H115" s="579"/>
      <c r="I115" s="840"/>
      <c r="J115" s="835"/>
      <c r="L115" s="443"/>
    </row>
    <row r="116" spans="1:22" s="7" customFormat="1">
      <c r="A116" s="766" t="s">
        <v>1582</v>
      </c>
      <c r="B116" s="780" t="s">
        <v>999</v>
      </c>
      <c r="C116" s="841">
        <v>9</v>
      </c>
      <c r="D116" s="842" t="s">
        <v>1000</v>
      </c>
      <c r="E116" s="843">
        <v>2100</v>
      </c>
      <c r="F116" s="625">
        <f t="shared" ref="F116:F117" si="44">ROUND(C116*E116,0)</f>
        <v>18900</v>
      </c>
      <c r="G116" s="842">
        <v>500</v>
      </c>
      <c r="H116" s="625">
        <f>ROUND(C116*G116,0)</f>
        <v>4500</v>
      </c>
      <c r="I116" s="841">
        <f t="shared" ref="I116" si="45">H116+F116</f>
        <v>23400</v>
      </c>
      <c r="J116" s="747"/>
      <c r="L116" s="443"/>
    </row>
    <row r="117" spans="1:22" s="7" customFormat="1">
      <c r="A117" s="574" t="s">
        <v>1053</v>
      </c>
      <c r="B117" s="840" t="s">
        <v>1001</v>
      </c>
      <c r="C117" s="840">
        <v>1</v>
      </c>
      <c r="D117" s="823" t="s">
        <v>1000</v>
      </c>
      <c r="E117" s="840">
        <v>12000</v>
      </c>
      <c r="F117" s="579">
        <f t="shared" si="44"/>
        <v>12000</v>
      </c>
      <c r="G117" s="840">
        <v>800</v>
      </c>
      <c r="H117" s="579">
        <f t="shared" ref="H117" si="46">ROUND(C117*G117,0)</f>
        <v>800</v>
      </c>
      <c r="I117" s="840">
        <f>H117+F117</f>
        <v>12800</v>
      </c>
      <c r="J117" s="765"/>
      <c r="L117" s="443"/>
    </row>
    <row r="118" spans="1:22" s="344" customFormat="1">
      <c r="A118" s="766" t="s">
        <v>1684</v>
      </c>
      <c r="B118" s="844" t="s">
        <v>1002</v>
      </c>
      <c r="C118" s="845">
        <v>88.72</v>
      </c>
      <c r="D118" s="846" t="s">
        <v>82</v>
      </c>
      <c r="E118" s="847">
        <v>0</v>
      </c>
      <c r="F118" s="848">
        <f>E118*C118</f>
        <v>0</v>
      </c>
      <c r="G118" s="847">
        <v>99</v>
      </c>
      <c r="H118" s="848">
        <f>G118*C118</f>
        <v>8783.2800000000007</v>
      </c>
      <c r="I118" s="848">
        <f>H118+F118</f>
        <v>8783.2800000000007</v>
      </c>
      <c r="J118" s="849"/>
      <c r="L118" s="455" t="s">
        <v>790</v>
      </c>
      <c r="O118" s="7"/>
      <c r="P118" s="7"/>
      <c r="Q118" s="7"/>
      <c r="R118" s="7"/>
      <c r="S118" s="7"/>
    </row>
    <row r="119" spans="1:22" s="7" customFormat="1">
      <c r="A119" s="766" t="s">
        <v>1685</v>
      </c>
      <c r="B119" s="850" t="s">
        <v>1003</v>
      </c>
      <c r="C119" s="624">
        <v>9.76</v>
      </c>
      <c r="D119" s="851" t="s">
        <v>82</v>
      </c>
      <c r="E119" s="852">
        <v>537.39</v>
      </c>
      <c r="F119" s="853">
        <f>C119*E119</f>
        <v>5244.9263999999994</v>
      </c>
      <c r="G119" s="853">
        <v>91</v>
      </c>
      <c r="H119" s="853">
        <f>C119*G119</f>
        <v>888.16</v>
      </c>
      <c r="I119" s="853">
        <f>F119+H119</f>
        <v>6133.0863999999992</v>
      </c>
      <c r="J119" s="787"/>
      <c r="L119" s="452" t="s">
        <v>996</v>
      </c>
      <c r="S119" s="344"/>
    </row>
    <row r="120" spans="1:22" s="7" customFormat="1">
      <c r="A120" s="766" t="s">
        <v>1686</v>
      </c>
      <c r="B120" s="854" t="s">
        <v>1004</v>
      </c>
      <c r="C120" s="624">
        <v>4.6500000000000004</v>
      </c>
      <c r="D120" s="851" t="s">
        <v>82</v>
      </c>
      <c r="E120" s="852">
        <v>1400</v>
      </c>
      <c r="F120" s="853">
        <f>C120*E120</f>
        <v>6510.0000000000009</v>
      </c>
      <c r="G120" s="853">
        <v>398</v>
      </c>
      <c r="H120" s="853">
        <f>C120*G120</f>
        <v>1850.7</v>
      </c>
      <c r="I120" s="853">
        <f t="shared" ref="I120" si="47">F120+H120</f>
        <v>8360.7000000000007</v>
      </c>
      <c r="J120" s="787"/>
      <c r="L120" s="452" t="s">
        <v>944</v>
      </c>
    </row>
    <row r="121" spans="1:22" s="7" customFormat="1">
      <c r="A121" s="800"/>
      <c r="B121" s="642" t="s">
        <v>1304</v>
      </c>
      <c r="C121" s="636"/>
      <c r="D121" s="855"/>
      <c r="E121" s="856"/>
      <c r="F121" s="733"/>
      <c r="G121" s="733"/>
      <c r="H121" s="733"/>
      <c r="I121" s="644">
        <f>SUM(I113:I120)</f>
        <v>96701.066399999996</v>
      </c>
      <c r="J121" s="829"/>
      <c r="L121" s="452"/>
    </row>
    <row r="122" spans="1:22" s="7" customFormat="1">
      <c r="A122" s="568">
        <v>4.5</v>
      </c>
      <c r="B122" s="639" t="s">
        <v>594</v>
      </c>
      <c r="C122" s="572"/>
      <c r="D122" s="571"/>
      <c r="E122" s="572"/>
      <c r="F122" s="572"/>
      <c r="G122" s="572"/>
      <c r="H122" s="572"/>
      <c r="I122" s="572"/>
      <c r="J122" s="640"/>
      <c r="R122" s="344"/>
    </row>
    <row r="123" spans="1:22" s="7" customFormat="1">
      <c r="A123" s="582" t="s">
        <v>1054</v>
      </c>
      <c r="B123" s="614" t="s">
        <v>1006</v>
      </c>
      <c r="C123" s="857">
        <v>1</v>
      </c>
      <c r="D123" s="781" t="s">
        <v>40</v>
      </c>
      <c r="E123" s="858">
        <v>0</v>
      </c>
      <c r="F123" s="859">
        <f>ROUND(C123*E123,0)</f>
        <v>0</v>
      </c>
      <c r="G123" s="860">
        <v>3000</v>
      </c>
      <c r="H123" s="859">
        <f>ROUND(C123*G123,0)</f>
        <v>3000</v>
      </c>
      <c r="I123" s="859">
        <f>F123+H123</f>
        <v>3000</v>
      </c>
      <c r="J123" s="861"/>
    </row>
    <row r="124" spans="1:22" s="7" customFormat="1">
      <c r="A124" s="582" t="s">
        <v>1055</v>
      </c>
      <c r="B124" s="1297" t="s">
        <v>1008</v>
      </c>
      <c r="C124" s="664">
        <v>4</v>
      </c>
      <c r="D124" s="657" t="s">
        <v>639</v>
      </c>
      <c r="E124" s="664">
        <v>800</v>
      </c>
      <c r="F124" s="587">
        <f>ROUND(C124*E124,0)</f>
        <v>3200</v>
      </c>
      <c r="G124" s="664">
        <v>200</v>
      </c>
      <c r="H124" s="587">
        <f>ROUND(C124*G124,0)</f>
        <v>800</v>
      </c>
      <c r="I124" s="587">
        <f>F124+H124</f>
        <v>4000</v>
      </c>
      <c r="J124" s="862"/>
      <c r="L124" s="452" t="s">
        <v>944</v>
      </c>
      <c r="O124" s="344"/>
      <c r="P124" s="344"/>
      <c r="Q124" s="344"/>
    </row>
    <row r="125" spans="1:22">
      <c r="A125" s="641"/>
      <c r="B125" s="551" t="s">
        <v>1305</v>
      </c>
      <c r="C125" s="636"/>
      <c r="D125" s="552"/>
      <c r="E125" s="926"/>
      <c r="F125" s="926"/>
      <c r="G125" s="926"/>
      <c r="H125" s="926"/>
      <c r="I125" s="928">
        <f>SUM(I123:I124)</f>
        <v>7000</v>
      </c>
      <c r="J125" s="553"/>
      <c r="L125" s="6"/>
      <c r="M125" s="6"/>
      <c r="N125" s="6"/>
      <c r="O125" s="7"/>
      <c r="P125" s="7"/>
      <c r="Q125" s="7"/>
      <c r="R125" s="7"/>
      <c r="S125" s="7"/>
      <c r="T125" s="6"/>
      <c r="U125" s="6"/>
      <c r="V125" s="6"/>
    </row>
    <row r="126" spans="1:22" ht="26.25" customHeight="1">
      <c r="A126" s="1298"/>
      <c r="B126" s="501" t="s">
        <v>1189</v>
      </c>
      <c r="C126" s="1299"/>
      <c r="D126" s="1298"/>
      <c r="E126" s="1300"/>
      <c r="F126" s="1300"/>
      <c r="G126" s="1300"/>
      <c r="H126" s="1300"/>
      <c r="I126" s="1300">
        <f>I63+I97+I111+I121+I125</f>
        <v>1070823.8876499999</v>
      </c>
      <c r="J126" s="501"/>
      <c r="L126" s="6"/>
      <c r="M126" s="6"/>
      <c r="N126" s="6"/>
      <c r="O126" s="7"/>
      <c r="P126" s="7"/>
      <c r="Q126" s="7"/>
      <c r="R126" s="7"/>
      <c r="S126" s="6"/>
      <c r="T126" s="6"/>
      <c r="U126" s="6"/>
      <c r="V126" s="6"/>
    </row>
  </sheetData>
  <mergeCells count="29">
    <mergeCell ref="J66:J69"/>
    <mergeCell ref="E69:H69"/>
    <mergeCell ref="E70:H70"/>
    <mergeCell ref="E24:H24"/>
    <mergeCell ref="E29:H29"/>
    <mergeCell ref="I12:I13"/>
    <mergeCell ref="J12:J13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printOptions horizontalCentered="1"/>
  <pageMargins left="0.31496062992125984" right="0.16" top="0.32" bottom="0.24" header="0.26" footer="0.19"/>
  <pageSetup paperSize="9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G139"/>
  <sheetViews>
    <sheetView topLeftCell="A30" zoomScale="85" zoomScaleNormal="85" zoomScaleSheetLayoutView="80" workbookViewId="0">
      <selection activeCell="E23" sqref="E23"/>
    </sheetView>
  </sheetViews>
  <sheetFormatPr defaultColWidth="8.7109375" defaultRowHeight="24"/>
  <cols>
    <col min="1" max="1" width="10.42578125" style="39" customWidth="1"/>
    <col min="2" max="2" width="80.7109375" style="7" customWidth="1"/>
    <col min="3" max="3" width="11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7.710937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SUM(AA2:AA13)</f>
        <v>0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SUM(AA7:AA797)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1508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8" t="s">
        <v>1</v>
      </c>
      <c r="C12" s="1419" t="s">
        <v>13</v>
      </c>
      <c r="D12" s="1420" t="s">
        <v>12</v>
      </c>
      <c r="E12" s="1421" t="s">
        <v>14</v>
      </c>
      <c r="F12" s="1420"/>
      <c r="G12" s="1421" t="s">
        <v>15</v>
      </c>
      <c r="H12" s="1420"/>
      <c r="I12" s="1415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8"/>
      <c r="C13" s="1419"/>
      <c r="D13" s="1420"/>
      <c r="E13" s="1140" t="s">
        <v>35</v>
      </c>
      <c r="F13" s="1141" t="s">
        <v>16</v>
      </c>
      <c r="G13" s="1140" t="s">
        <v>35</v>
      </c>
      <c r="H13" s="1141" t="s">
        <v>16</v>
      </c>
      <c r="I13" s="1416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SUM(AB2:AB13)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 ht="26.25" customHeight="1">
      <c r="A14" s="525">
        <v>5</v>
      </c>
      <c r="B14" s="525" t="s">
        <v>336</v>
      </c>
      <c r="C14" s="646"/>
      <c r="D14" s="1301"/>
      <c r="E14" s="1302"/>
      <c r="F14" s="1302"/>
      <c r="G14" s="1302"/>
      <c r="H14" s="1302"/>
      <c r="I14" s="1302"/>
      <c r="J14" s="1303"/>
      <c r="O14" s="7"/>
      <c r="P14" s="7"/>
      <c r="Q14" s="7"/>
      <c r="R14" s="6"/>
    </row>
    <row r="15" spans="1:28" ht="26.25" customHeight="1">
      <c r="A15" s="678">
        <v>5.0999999999999996</v>
      </c>
      <c r="B15" s="679" t="s">
        <v>1206</v>
      </c>
      <c r="C15" s="680"/>
      <c r="D15" s="681"/>
      <c r="E15" s="572"/>
      <c r="F15" s="682"/>
      <c r="G15" s="572"/>
      <c r="H15" s="572"/>
      <c r="I15" s="683"/>
      <c r="J15" s="684"/>
      <c r="O15" s="7"/>
      <c r="P15" s="7"/>
      <c r="Q15" s="7"/>
      <c r="R15" s="6"/>
    </row>
    <row r="16" spans="1:28" ht="26.25" customHeight="1">
      <c r="A16" s="685" t="s">
        <v>1202</v>
      </c>
      <c r="B16" s="686" t="s">
        <v>1200</v>
      </c>
      <c r="C16" s="687"/>
      <c r="D16" s="688"/>
      <c r="E16" s="689"/>
      <c r="F16" s="690"/>
      <c r="G16" s="689"/>
      <c r="H16" s="689"/>
      <c r="I16" s="691"/>
      <c r="J16" s="1304"/>
      <c r="O16" s="7"/>
      <c r="P16" s="7"/>
      <c r="Q16" s="7"/>
      <c r="R16" s="6"/>
    </row>
    <row r="17" spans="1:17" ht="26.25" customHeight="1">
      <c r="A17" s="557" t="s">
        <v>1554</v>
      </c>
      <c r="B17" s="692" t="s">
        <v>337</v>
      </c>
      <c r="C17" s="546">
        <v>1</v>
      </c>
      <c r="D17" s="547" t="s">
        <v>37</v>
      </c>
      <c r="E17" s="548">
        <v>141000</v>
      </c>
      <c r="F17" s="548">
        <f t="shared" ref="F17:F32" si="2">C17*E17</f>
        <v>141000</v>
      </c>
      <c r="G17" s="548">
        <f>E17*20%</f>
        <v>28200</v>
      </c>
      <c r="H17" s="548">
        <f t="shared" ref="H17:H32" si="3">C17*G17</f>
        <v>28200</v>
      </c>
      <c r="I17" s="549">
        <f t="shared" ref="I17:I32" si="4">F17+H17</f>
        <v>169200</v>
      </c>
      <c r="J17" s="1305"/>
      <c r="K17" s="1" t="s">
        <v>1087</v>
      </c>
      <c r="O17" s="6"/>
      <c r="P17" s="6"/>
      <c r="Q17" s="6"/>
    </row>
    <row r="18" spans="1:17" ht="26.25" customHeight="1">
      <c r="A18" s="693"/>
      <c r="B18" s="1306" t="s">
        <v>1378</v>
      </c>
      <c r="C18" s="694"/>
      <c r="D18" s="695"/>
      <c r="E18" s="696"/>
      <c r="F18" s="696"/>
      <c r="G18" s="696"/>
      <c r="H18" s="696"/>
      <c r="I18" s="697">
        <f>SUM(I17:I17)</f>
        <v>169200</v>
      </c>
      <c r="J18" s="1307"/>
      <c r="O18" s="6"/>
      <c r="P18" s="6"/>
      <c r="Q18" s="6"/>
    </row>
    <row r="19" spans="1:17" ht="26.25" customHeight="1">
      <c r="A19" s="685" t="s">
        <v>1203</v>
      </c>
      <c r="B19" s="686" t="s">
        <v>1201</v>
      </c>
      <c r="C19" s="687"/>
      <c r="D19" s="688"/>
      <c r="E19" s="698"/>
      <c r="F19" s="698"/>
      <c r="G19" s="698"/>
      <c r="H19" s="698"/>
      <c r="I19" s="699"/>
      <c r="J19" s="1304"/>
      <c r="O19" s="6"/>
      <c r="P19" s="6"/>
      <c r="Q19" s="6"/>
    </row>
    <row r="20" spans="1:17" ht="26.25" customHeight="1">
      <c r="A20" s="557" t="s">
        <v>1541</v>
      </c>
      <c r="B20" s="692" t="s">
        <v>1067</v>
      </c>
      <c r="C20" s="546">
        <v>2</v>
      </c>
      <c r="D20" s="547" t="s">
        <v>37</v>
      </c>
      <c r="E20" s="548">
        <v>8293</v>
      </c>
      <c r="F20" s="548">
        <f t="shared" si="2"/>
        <v>16586</v>
      </c>
      <c r="G20" s="548">
        <v>1500</v>
      </c>
      <c r="H20" s="548">
        <f t="shared" si="3"/>
        <v>3000</v>
      </c>
      <c r="I20" s="548">
        <f t="shared" si="4"/>
        <v>19586</v>
      </c>
      <c r="J20" s="1305"/>
      <c r="K20" s="1" t="s">
        <v>1089</v>
      </c>
      <c r="O20" s="6"/>
      <c r="P20" s="6"/>
      <c r="Q20" s="6"/>
    </row>
    <row r="21" spans="1:17" ht="26.25" customHeight="1">
      <c r="A21" s="557" t="s">
        <v>1542</v>
      </c>
      <c r="B21" s="692" t="s">
        <v>1068</v>
      </c>
      <c r="C21" s="546">
        <v>2</v>
      </c>
      <c r="D21" s="547" t="s">
        <v>37</v>
      </c>
      <c r="E21" s="548">
        <v>9877</v>
      </c>
      <c r="F21" s="548">
        <f t="shared" si="2"/>
        <v>19754</v>
      </c>
      <c r="G21" s="548">
        <v>1200</v>
      </c>
      <c r="H21" s="548">
        <f t="shared" si="3"/>
        <v>2400</v>
      </c>
      <c r="I21" s="548">
        <f t="shared" si="4"/>
        <v>22154</v>
      </c>
      <c r="J21" s="1305"/>
      <c r="K21" s="1" t="s">
        <v>1088</v>
      </c>
    </row>
    <row r="22" spans="1:17" ht="26.25" customHeight="1">
      <c r="A22" s="557" t="s">
        <v>1543</v>
      </c>
      <c r="B22" s="692" t="s">
        <v>1069</v>
      </c>
      <c r="C22" s="546">
        <v>2</v>
      </c>
      <c r="D22" s="547" t="s">
        <v>37</v>
      </c>
      <c r="E22" s="548">
        <v>8560</v>
      </c>
      <c r="F22" s="548">
        <f t="shared" si="2"/>
        <v>17120</v>
      </c>
      <c r="G22" s="548">
        <v>1200</v>
      </c>
      <c r="H22" s="548">
        <f t="shared" si="3"/>
        <v>2400</v>
      </c>
      <c r="I22" s="548">
        <f t="shared" si="4"/>
        <v>19520</v>
      </c>
      <c r="J22" s="561"/>
      <c r="K22" s="1" t="s">
        <v>1088</v>
      </c>
    </row>
    <row r="23" spans="1:17" ht="26.25" customHeight="1">
      <c r="A23" s="557" t="s">
        <v>1544</v>
      </c>
      <c r="B23" s="700" t="s">
        <v>1207</v>
      </c>
      <c r="C23" s="546">
        <v>2</v>
      </c>
      <c r="D23" s="547" t="s">
        <v>277</v>
      </c>
      <c r="E23" s="548">
        <v>1403</v>
      </c>
      <c r="F23" s="548">
        <f t="shared" si="2"/>
        <v>2806</v>
      </c>
      <c r="G23" s="548">
        <v>0</v>
      </c>
      <c r="H23" s="548">
        <f t="shared" si="3"/>
        <v>0</v>
      </c>
      <c r="I23" s="548">
        <f t="shared" si="4"/>
        <v>2806</v>
      </c>
      <c r="J23" s="561"/>
      <c r="K23" s="1" t="s">
        <v>1089</v>
      </c>
    </row>
    <row r="24" spans="1:17" ht="26.25" customHeight="1">
      <c r="A24" s="557" t="s">
        <v>1545</v>
      </c>
      <c r="B24" s="700" t="s">
        <v>1208</v>
      </c>
      <c r="C24" s="546">
        <v>3</v>
      </c>
      <c r="D24" s="547" t="s">
        <v>277</v>
      </c>
      <c r="E24" s="548">
        <v>1403</v>
      </c>
      <c r="F24" s="548">
        <f t="shared" si="2"/>
        <v>4209</v>
      </c>
      <c r="G24" s="548">
        <v>0</v>
      </c>
      <c r="H24" s="548">
        <f t="shared" si="3"/>
        <v>0</v>
      </c>
      <c r="I24" s="548">
        <f t="shared" si="4"/>
        <v>4209</v>
      </c>
      <c r="J24" s="561"/>
      <c r="K24" s="1" t="s">
        <v>1089</v>
      </c>
    </row>
    <row r="25" spans="1:17" ht="26.25" customHeight="1">
      <c r="A25" s="557" t="s">
        <v>1546</v>
      </c>
      <c r="B25" s="700" t="s">
        <v>1209</v>
      </c>
      <c r="C25" s="546">
        <v>3</v>
      </c>
      <c r="D25" s="547" t="s">
        <v>277</v>
      </c>
      <c r="E25" s="548">
        <v>839</v>
      </c>
      <c r="F25" s="548">
        <f t="shared" si="2"/>
        <v>2517</v>
      </c>
      <c r="G25" s="548">
        <v>0</v>
      </c>
      <c r="H25" s="548">
        <f t="shared" si="3"/>
        <v>0</v>
      </c>
      <c r="I25" s="548">
        <f t="shared" si="4"/>
        <v>2517</v>
      </c>
      <c r="J25" s="561"/>
      <c r="K25" s="1" t="s">
        <v>1089</v>
      </c>
    </row>
    <row r="26" spans="1:17" ht="26.25" customHeight="1">
      <c r="A26" s="557" t="s">
        <v>1547</v>
      </c>
      <c r="B26" s="700" t="s">
        <v>1210</v>
      </c>
      <c r="C26" s="546">
        <v>1</v>
      </c>
      <c r="D26" s="547" t="s">
        <v>277</v>
      </c>
      <c r="E26" s="548">
        <v>662</v>
      </c>
      <c r="F26" s="548">
        <f t="shared" si="2"/>
        <v>662</v>
      </c>
      <c r="G26" s="548">
        <v>0</v>
      </c>
      <c r="H26" s="548">
        <f t="shared" si="3"/>
        <v>0</v>
      </c>
      <c r="I26" s="548">
        <f t="shared" si="4"/>
        <v>662</v>
      </c>
      <c r="J26" s="561"/>
      <c r="K26" s="1" t="s">
        <v>1089</v>
      </c>
    </row>
    <row r="27" spans="1:17" ht="26.25" customHeight="1">
      <c r="A27" s="557" t="s">
        <v>1548</v>
      </c>
      <c r="B27" s="700" t="s">
        <v>1211</v>
      </c>
      <c r="C27" s="546">
        <f>20+9</f>
        <v>29</v>
      </c>
      <c r="D27" s="547" t="s">
        <v>277</v>
      </c>
      <c r="E27" s="548">
        <v>106</v>
      </c>
      <c r="F27" s="548">
        <f t="shared" si="2"/>
        <v>3074</v>
      </c>
      <c r="G27" s="548">
        <v>0</v>
      </c>
      <c r="H27" s="548">
        <f t="shared" si="3"/>
        <v>0</v>
      </c>
      <c r="I27" s="548">
        <f t="shared" si="4"/>
        <v>3074</v>
      </c>
      <c r="J27" s="561"/>
      <c r="K27" s="1" t="s">
        <v>1089</v>
      </c>
    </row>
    <row r="28" spans="1:17" ht="26.25" customHeight="1">
      <c r="A28" s="557" t="s">
        <v>1549</v>
      </c>
      <c r="B28" s="700" t="s">
        <v>1212</v>
      </c>
      <c r="C28" s="546">
        <v>12</v>
      </c>
      <c r="D28" s="547" t="s">
        <v>277</v>
      </c>
      <c r="E28" s="548">
        <v>106</v>
      </c>
      <c r="F28" s="548">
        <f t="shared" si="2"/>
        <v>1272</v>
      </c>
      <c r="G28" s="548">
        <v>0</v>
      </c>
      <c r="H28" s="548">
        <f t="shared" si="3"/>
        <v>0</v>
      </c>
      <c r="I28" s="548">
        <f t="shared" si="4"/>
        <v>1272</v>
      </c>
      <c r="J28" s="561"/>
      <c r="K28" s="1" t="s">
        <v>1089</v>
      </c>
    </row>
    <row r="29" spans="1:17" ht="26.25" customHeight="1">
      <c r="A29" s="557" t="s">
        <v>1550</v>
      </c>
      <c r="B29" s="700" t="s">
        <v>1213</v>
      </c>
      <c r="C29" s="546">
        <f>30</f>
        <v>30</v>
      </c>
      <c r="D29" s="547" t="s">
        <v>277</v>
      </c>
      <c r="E29" s="548">
        <v>106</v>
      </c>
      <c r="F29" s="548">
        <f t="shared" si="2"/>
        <v>3180</v>
      </c>
      <c r="G29" s="548">
        <v>0</v>
      </c>
      <c r="H29" s="548">
        <f t="shared" si="3"/>
        <v>0</v>
      </c>
      <c r="I29" s="548">
        <f t="shared" si="4"/>
        <v>3180</v>
      </c>
      <c r="J29" s="561"/>
      <c r="K29" s="1" t="s">
        <v>1089</v>
      </c>
    </row>
    <row r="30" spans="1:17" ht="26.25" customHeight="1">
      <c r="A30" s="557" t="s">
        <v>1551</v>
      </c>
      <c r="B30" s="700" t="s">
        <v>1214</v>
      </c>
      <c r="C30" s="546">
        <f>14+7+7</f>
        <v>28</v>
      </c>
      <c r="D30" s="547" t="s">
        <v>277</v>
      </c>
      <c r="E30" s="548">
        <v>1299</v>
      </c>
      <c r="F30" s="548">
        <f t="shared" si="2"/>
        <v>36372</v>
      </c>
      <c r="G30" s="548">
        <v>0</v>
      </c>
      <c r="H30" s="548">
        <f t="shared" si="3"/>
        <v>0</v>
      </c>
      <c r="I30" s="548">
        <f t="shared" si="4"/>
        <v>36372</v>
      </c>
      <c r="J30" s="701"/>
      <c r="K30" s="1" t="s">
        <v>1089</v>
      </c>
    </row>
    <row r="31" spans="1:17" ht="26.25" customHeight="1">
      <c r="A31" s="557" t="s">
        <v>1552</v>
      </c>
      <c r="B31" s="700" t="s">
        <v>1215</v>
      </c>
      <c r="C31" s="546">
        <v>24</v>
      </c>
      <c r="D31" s="547" t="s">
        <v>277</v>
      </c>
      <c r="E31" s="548">
        <v>1299</v>
      </c>
      <c r="F31" s="548">
        <f t="shared" si="2"/>
        <v>31176</v>
      </c>
      <c r="G31" s="548">
        <v>0</v>
      </c>
      <c r="H31" s="548">
        <f t="shared" si="3"/>
        <v>0</v>
      </c>
      <c r="I31" s="548">
        <f t="shared" si="4"/>
        <v>31176</v>
      </c>
      <c r="J31" s="701"/>
      <c r="K31" s="1" t="s">
        <v>1089</v>
      </c>
    </row>
    <row r="32" spans="1:17" ht="26.25" customHeight="1">
      <c r="A32" s="557" t="s">
        <v>1553</v>
      </c>
      <c r="B32" s="700" t="s">
        <v>1425</v>
      </c>
      <c r="C32" s="546">
        <v>1</v>
      </c>
      <c r="D32" s="547" t="s">
        <v>40</v>
      </c>
      <c r="E32" s="548">
        <v>25580</v>
      </c>
      <c r="F32" s="548">
        <f t="shared" si="2"/>
        <v>25580</v>
      </c>
      <c r="G32" s="548">
        <v>7674</v>
      </c>
      <c r="H32" s="548">
        <f t="shared" si="3"/>
        <v>7674</v>
      </c>
      <c r="I32" s="548">
        <f t="shared" si="4"/>
        <v>33254</v>
      </c>
      <c r="J32" s="701"/>
    </row>
    <row r="33" spans="1:12" ht="26.25" customHeight="1">
      <c r="A33" s="693"/>
      <c r="B33" s="1308" t="s">
        <v>1379</v>
      </c>
      <c r="C33" s="694"/>
      <c r="D33" s="695"/>
      <c r="E33" s="696"/>
      <c r="F33" s="696"/>
      <c r="G33" s="696"/>
      <c r="H33" s="696"/>
      <c r="I33" s="708">
        <f>SUM(I20:I32)</f>
        <v>179782</v>
      </c>
      <c r="J33" s="709"/>
    </row>
    <row r="34" spans="1:12" ht="26.25" customHeight="1">
      <c r="A34" s="685" t="s">
        <v>1204</v>
      </c>
      <c r="B34" s="702" t="s">
        <v>1198</v>
      </c>
      <c r="C34" s="687"/>
      <c r="D34" s="688"/>
      <c r="E34" s="698"/>
      <c r="F34" s="698"/>
      <c r="G34" s="698"/>
      <c r="H34" s="698"/>
      <c r="I34" s="698"/>
      <c r="J34" s="703"/>
    </row>
    <row r="35" spans="1:12" ht="26.25" customHeight="1">
      <c r="A35" s="557" t="s">
        <v>1555</v>
      </c>
      <c r="B35" s="704" t="s">
        <v>1070</v>
      </c>
      <c r="C35" s="705">
        <v>1</v>
      </c>
      <c r="D35" s="547" t="s">
        <v>277</v>
      </c>
      <c r="E35" s="548">
        <v>4707</v>
      </c>
      <c r="F35" s="548">
        <f t="shared" ref="F35" si="5">C35*E35</f>
        <v>4707</v>
      </c>
      <c r="G35" s="548">
        <v>500</v>
      </c>
      <c r="H35" s="548">
        <f t="shared" ref="H35" si="6">C35*G35</f>
        <v>500</v>
      </c>
      <c r="I35" s="548">
        <f t="shared" ref="I35" si="7">F35+H35</f>
        <v>5207</v>
      </c>
      <c r="J35" s="561"/>
    </row>
    <row r="36" spans="1:12" ht="26.25" customHeight="1">
      <c r="A36" s="693"/>
      <c r="B36" s="706" t="s">
        <v>1380</v>
      </c>
      <c r="C36" s="707"/>
      <c r="D36" s="695"/>
      <c r="E36" s="696"/>
      <c r="F36" s="696"/>
      <c r="G36" s="696"/>
      <c r="H36" s="696"/>
      <c r="I36" s="708">
        <f>SUM(I35)</f>
        <v>5207</v>
      </c>
      <c r="J36" s="709"/>
    </row>
    <row r="37" spans="1:12" ht="26.25" customHeight="1">
      <c r="A37" s="685" t="s">
        <v>1205</v>
      </c>
      <c r="B37" s="710" t="s">
        <v>1199</v>
      </c>
      <c r="C37" s="687"/>
      <c r="D37" s="688"/>
      <c r="E37" s="698"/>
      <c r="F37" s="698"/>
      <c r="G37" s="698"/>
      <c r="H37" s="698"/>
      <c r="I37" s="699"/>
      <c r="J37" s="703"/>
    </row>
    <row r="38" spans="1:12" ht="26.25" customHeight="1">
      <c r="A38" s="557" t="s">
        <v>1556</v>
      </c>
      <c r="B38" s="558" t="s">
        <v>1077</v>
      </c>
      <c r="C38" s="546">
        <v>15</v>
      </c>
      <c r="D38" s="559" t="s">
        <v>8</v>
      </c>
      <c r="E38" s="546">
        <f>18450.4/100</f>
        <v>184.50400000000002</v>
      </c>
      <c r="F38" s="549">
        <f>C38*E38</f>
        <v>2767.5600000000004</v>
      </c>
      <c r="G38" s="546">
        <v>40</v>
      </c>
      <c r="H38" s="549">
        <f>C38*G38</f>
        <v>600</v>
      </c>
      <c r="I38" s="549">
        <f>F38+H38</f>
        <v>3367.5600000000004</v>
      </c>
      <c r="J38" s="561"/>
      <c r="K38" s="1" t="s">
        <v>1090</v>
      </c>
      <c r="L38" s="1" t="s">
        <v>1088</v>
      </c>
    </row>
    <row r="39" spans="1:12" ht="26.25" customHeight="1">
      <c r="A39" s="557" t="s">
        <v>1557</v>
      </c>
      <c r="B39" s="558" t="s">
        <v>1078</v>
      </c>
      <c r="C39" s="546">
        <v>1</v>
      </c>
      <c r="D39" s="559" t="s">
        <v>37</v>
      </c>
      <c r="E39" s="546">
        <v>5500</v>
      </c>
      <c r="F39" s="549">
        <f>C39*E39</f>
        <v>5500</v>
      </c>
      <c r="G39" s="546">
        <f>E39*30%</f>
        <v>1650</v>
      </c>
      <c r="H39" s="549">
        <f>C39*G39</f>
        <v>1650</v>
      </c>
      <c r="I39" s="549">
        <f>F39+H39</f>
        <v>7150</v>
      </c>
      <c r="J39" s="561"/>
    </row>
    <row r="40" spans="1:12" ht="26.25" customHeight="1">
      <c r="A40" s="557" t="s">
        <v>1558</v>
      </c>
      <c r="B40" s="711" t="s">
        <v>1080</v>
      </c>
      <c r="C40" s="546">
        <f>C38</f>
        <v>15</v>
      </c>
      <c r="D40" s="547" t="s">
        <v>8</v>
      </c>
      <c r="E40" s="548">
        <f>100/4</f>
        <v>25</v>
      </c>
      <c r="F40" s="548">
        <f>C40*E40</f>
        <v>375</v>
      </c>
      <c r="G40" s="548">
        <v>25</v>
      </c>
      <c r="H40" s="548">
        <f>C40*G40</f>
        <v>375</v>
      </c>
      <c r="I40" s="548">
        <f>F40+H40</f>
        <v>750</v>
      </c>
      <c r="J40" s="561"/>
      <c r="K40" s="1" t="s">
        <v>1090</v>
      </c>
      <c r="L40" s="1" t="s">
        <v>1091</v>
      </c>
    </row>
    <row r="41" spans="1:12" ht="26.25" customHeight="1">
      <c r="A41" s="557" t="s">
        <v>1559</v>
      </c>
      <c r="B41" s="1309" t="s">
        <v>1434</v>
      </c>
      <c r="C41" s="546">
        <v>1</v>
      </c>
      <c r="D41" s="559" t="s">
        <v>37</v>
      </c>
      <c r="E41" s="546">
        <v>2000</v>
      </c>
      <c r="F41" s="549">
        <f>C41*E41</f>
        <v>2000</v>
      </c>
      <c r="G41" s="546">
        <f>E41*30%</f>
        <v>600</v>
      </c>
      <c r="H41" s="549">
        <f>C41*G41</f>
        <v>600</v>
      </c>
      <c r="I41" s="549">
        <f>F41+H41</f>
        <v>2600</v>
      </c>
      <c r="J41" s="561"/>
    </row>
    <row r="42" spans="1:12" ht="26.25" customHeight="1">
      <c r="A42" s="693"/>
      <c r="B42" s="1310" t="s">
        <v>1381</v>
      </c>
      <c r="C42" s="694"/>
      <c r="D42" s="1311"/>
      <c r="E42" s="694"/>
      <c r="F42" s="1312"/>
      <c r="G42" s="694"/>
      <c r="H42" s="1312"/>
      <c r="I42" s="697">
        <f>SUM(I38:I41)</f>
        <v>13867.560000000001</v>
      </c>
      <c r="J42" s="709"/>
    </row>
    <row r="43" spans="1:12" ht="26.25" customHeight="1">
      <c r="A43" s="712"/>
      <c r="B43" s="713" t="s">
        <v>1306</v>
      </c>
      <c r="C43" s="714"/>
      <c r="D43" s="715"/>
      <c r="E43" s="714"/>
      <c r="F43" s="716"/>
      <c r="G43" s="714"/>
      <c r="H43" s="716"/>
      <c r="I43" s="717">
        <f>I18+I33+I36+I42</f>
        <v>368056.56</v>
      </c>
      <c r="J43" s="718"/>
    </row>
    <row r="44" spans="1:12" ht="26.25" customHeight="1">
      <c r="A44" s="678">
        <v>5.2</v>
      </c>
      <c r="B44" s="719" t="s">
        <v>340</v>
      </c>
      <c r="C44" s="720"/>
      <c r="D44" s="721"/>
      <c r="E44" s="722"/>
      <c r="F44" s="722"/>
      <c r="G44" s="722"/>
      <c r="H44" s="722"/>
      <c r="I44" s="722"/>
      <c r="J44" s="723"/>
    </row>
    <row r="45" spans="1:12" ht="49.15" customHeight="1">
      <c r="A45" s="562" t="s">
        <v>1560</v>
      </c>
      <c r="B45" s="724" t="s">
        <v>1092</v>
      </c>
      <c r="C45" s="725">
        <v>174</v>
      </c>
      <c r="D45" s="726" t="s">
        <v>37</v>
      </c>
      <c r="E45" s="727">
        <v>1766</v>
      </c>
      <c r="F45" s="727">
        <f t="shared" ref="F45:F50" si="8">C45*E45</f>
        <v>307284</v>
      </c>
      <c r="G45" s="727">
        <v>150</v>
      </c>
      <c r="H45" s="727">
        <f t="shared" ref="H45:H50" si="9">C45*G45</f>
        <v>26100</v>
      </c>
      <c r="I45" s="728">
        <f t="shared" ref="I45:I50" si="10">F45+H45</f>
        <v>333384</v>
      </c>
      <c r="J45" s="561"/>
      <c r="K45" s="1" t="s">
        <v>1088</v>
      </c>
    </row>
    <row r="46" spans="1:12" ht="49.15" customHeight="1">
      <c r="A46" s="562" t="s">
        <v>1561</v>
      </c>
      <c r="B46" s="724" t="s">
        <v>1093</v>
      </c>
      <c r="C46" s="725">
        <v>159</v>
      </c>
      <c r="D46" s="726" t="s">
        <v>37</v>
      </c>
      <c r="E46" s="727">
        <v>1766</v>
      </c>
      <c r="F46" s="727">
        <f t="shared" si="8"/>
        <v>280794</v>
      </c>
      <c r="G46" s="727">
        <v>150</v>
      </c>
      <c r="H46" s="727">
        <f t="shared" si="9"/>
        <v>23850</v>
      </c>
      <c r="I46" s="728">
        <f t="shared" si="10"/>
        <v>304644</v>
      </c>
      <c r="J46" s="561"/>
      <c r="K46" s="1" t="s">
        <v>1088</v>
      </c>
    </row>
    <row r="47" spans="1:12" ht="49.15" customHeight="1">
      <c r="A47" s="562" t="s">
        <v>1562</v>
      </c>
      <c r="B47" s="724" t="s">
        <v>1094</v>
      </c>
      <c r="C47" s="725">
        <v>3</v>
      </c>
      <c r="D47" s="726" t="s">
        <v>37</v>
      </c>
      <c r="E47" s="727">
        <v>800</v>
      </c>
      <c r="F47" s="727">
        <f t="shared" si="8"/>
        <v>2400</v>
      </c>
      <c r="G47" s="727">
        <v>115</v>
      </c>
      <c r="H47" s="727">
        <f t="shared" si="9"/>
        <v>345</v>
      </c>
      <c r="I47" s="728">
        <f t="shared" si="10"/>
        <v>2745</v>
      </c>
      <c r="J47" s="561"/>
      <c r="K47" s="1" t="s">
        <v>1088</v>
      </c>
    </row>
    <row r="48" spans="1:12" ht="26.25" customHeight="1">
      <c r="A48" s="562" t="s">
        <v>1563</v>
      </c>
      <c r="B48" s="729" t="s">
        <v>1071</v>
      </c>
      <c r="C48" s="546">
        <v>78</v>
      </c>
      <c r="D48" s="730" t="s">
        <v>37</v>
      </c>
      <c r="E48" s="731">
        <v>240</v>
      </c>
      <c r="F48" s="731">
        <f t="shared" si="8"/>
        <v>18720</v>
      </c>
      <c r="G48" s="731">
        <v>115</v>
      </c>
      <c r="H48" s="731">
        <f t="shared" si="9"/>
        <v>8970</v>
      </c>
      <c r="I48" s="548">
        <f t="shared" si="10"/>
        <v>27690</v>
      </c>
      <c r="J48" s="561"/>
      <c r="K48" s="1" t="s">
        <v>1088</v>
      </c>
    </row>
    <row r="49" spans="1:11" ht="26.25" customHeight="1">
      <c r="A49" s="562" t="s">
        <v>1564</v>
      </c>
      <c r="B49" s="729" t="s">
        <v>1073</v>
      </c>
      <c r="C49" s="546">
        <v>22</v>
      </c>
      <c r="D49" s="730" t="s">
        <v>37</v>
      </c>
      <c r="E49" s="731">
        <v>300</v>
      </c>
      <c r="F49" s="731">
        <f t="shared" si="8"/>
        <v>6600</v>
      </c>
      <c r="G49" s="731">
        <v>115</v>
      </c>
      <c r="H49" s="731">
        <f t="shared" si="9"/>
        <v>2530</v>
      </c>
      <c r="I49" s="548">
        <f t="shared" si="10"/>
        <v>9130</v>
      </c>
      <c r="J49" s="561"/>
      <c r="K49" s="1" t="s">
        <v>1088</v>
      </c>
    </row>
    <row r="50" spans="1:11" ht="26.25" customHeight="1">
      <c r="A50" s="562" t="s">
        <v>1565</v>
      </c>
      <c r="B50" s="729" t="s">
        <v>1072</v>
      </c>
      <c r="C50" s="546">
        <v>10</v>
      </c>
      <c r="D50" s="730" t="s">
        <v>37</v>
      </c>
      <c r="E50" s="731">
        <v>700</v>
      </c>
      <c r="F50" s="731">
        <f t="shared" si="8"/>
        <v>7000</v>
      </c>
      <c r="G50" s="731">
        <v>115</v>
      </c>
      <c r="H50" s="731">
        <f t="shared" si="9"/>
        <v>1150</v>
      </c>
      <c r="I50" s="548">
        <f t="shared" si="10"/>
        <v>8150</v>
      </c>
      <c r="J50" s="561"/>
      <c r="K50" s="1" t="s">
        <v>1088</v>
      </c>
    </row>
    <row r="51" spans="1:11" ht="26.25" customHeight="1">
      <c r="A51" s="712"/>
      <c r="B51" s="713" t="s">
        <v>1307</v>
      </c>
      <c r="C51" s="714"/>
      <c r="D51" s="732"/>
      <c r="E51" s="733"/>
      <c r="F51" s="733"/>
      <c r="G51" s="714"/>
      <c r="H51" s="733"/>
      <c r="I51" s="644">
        <f>SUM(I45:I50)</f>
        <v>685743</v>
      </c>
      <c r="J51" s="718"/>
    </row>
    <row r="52" spans="1:11" ht="26.25" customHeight="1">
      <c r="A52" s="678">
        <v>5.3</v>
      </c>
      <c r="B52" s="719" t="s">
        <v>341</v>
      </c>
      <c r="C52" s="720"/>
      <c r="D52" s="721"/>
      <c r="E52" s="722"/>
      <c r="F52" s="722"/>
      <c r="G52" s="722"/>
      <c r="H52" s="722"/>
      <c r="I52" s="722"/>
      <c r="J52" s="723"/>
    </row>
    <row r="53" spans="1:11" ht="26.25" customHeight="1">
      <c r="A53" s="557" t="s">
        <v>1566</v>
      </c>
      <c r="B53" s="734" t="s">
        <v>342</v>
      </c>
      <c r="C53" s="546">
        <v>55</v>
      </c>
      <c r="D53" s="730" t="s">
        <v>37</v>
      </c>
      <c r="E53" s="731">
        <v>95</v>
      </c>
      <c r="F53" s="731">
        <f t="shared" ref="F53:F59" si="11">C53*E53</f>
        <v>5225</v>
      </c>
      <c r="G53" s="731">
        <v>80</v>
      </c>
      <c r="H53" s="731">
        <f t="shared" ref="H53:H59" si="12">C53*G53</f>
        <v>4400</v>
      </c>
      <c r="I53" s="731">
        <f t="shared" ref="I53:I59" si="13">F53+H53</f>
        <v>9625</v>
      </c>
      <c r="J53" s="1441" t="s">
        <v>1095</v>
      </c>
      <c r="K53" s="1" t="s">
        <v>1088</v>
      </c>
    </row>
    <row r="54" spans="1:11" ht="26.25" customHeight="1">
      <c r="A54" s="557" t="s">
        <v>1567</v>
      </c>
      <c r="B54" s="734" t="s">
        <v>343</v>
      </c>
      <c r="C54" s="546">
        <v>12</v>
      </c>
      <c r="D54" s="730" t="s">
        <v>37</v>
      </c>
      <c r="E54" s="731">
        <v>195</v>
      </c>
      <c r="F54" s="731">
        <f t="shared" si="11"/>
        <v>2340</v>
      </c>
      <c r="G54" s="731">
        <v>80</v>
      </c>
      <c r="H54" s="731">
        <f t="shared" si="12"/>
        <v>960</v>
      </c>
      <c r="I54" s="731">
        <f t="shared" si="13"/>
        <v>3300</v>
      </c>
      <c r="J54" s="1441"/>
      <c r="K54" s="1" t="s">
        <v>1088</v>
      </c>
    </row>
    <row r="55" spans="1:11" ht="26.25" customHeight="1">
      <c r="A55" s="557" t="s">
        <v>1568</v>
      </c>
      <c r="B55" s="734" t="s">
        <v>344</v>
      </c>
      <c r="C55" s="546">
        <v>2</v>
      </c>
      <c r="D55" s="730" t="s">
        <v>37</v>
      </c>
      <c r="E55" s="731">
        <v>52</v>
      </c>
      <c r="F55" s="731">
        <f t="shared" si="11"/>
        <v>104</v>
      </c>
      <c r="G55" s="731">
        <v>90</v>
      </c>
      <c r="H55" s="731">
        <f t="shared" si="12"/>
        <v>180</v>
      </c>
      <c r="I55" s="731">
        <f t="shared" si="13"/>
        <v>284</v>
      </c>
      <c r="J55" s="561"/>
    </row>
    <row r="56" spans="1:11" ht="26.25" customHeight="1">
      <c r="A56" s="557" t="s">
        <v>1569</v>
      </c>
      <c r="B56" s="734" t="s">
        <v>345</v>
      </c>
      <c r="C56" s="546">
        <v>33</v>
      </c>
      <c r="D56" s="730" t="s">
        <v>37</v>
      </c>
      <c r="E56" s="731">
        <v>107</v>
      </c>
      <c r="F56" s="731">
        <f t="shared" si="11"/>
        <v>3531</v>
      </c>
      <c r="G56" s="731">
        <v>90</v>
      </c>
      <c r="H56" s="731">
        <f t="shared" si="12"/>
        <v>2970</v>
      </c>
      <c r="I56" s="731">
        <f t="shared" si="13"/>
        <v>6501</v>
      </c>
      <c r="J56" s="561"/>
      <c r="K56" s="1" t="s">
        <v>1088</v>
      </c>
    </row>
    <row r="57" spans="1:11" ht="26.25" customHeight="1">
      <c r="A57" s="557" t="s">
        <v>1570</v>
      </c>
      <c r="B57" s="734" t="s">
        <v>346</v>
      </c>
      <c r="C57" s="546">
        <f>85+14+147</f>
        <v>246</v>
      </c>
      <c r="D57" s="730" t="s">
        <v>37</v>
      </c>
      <c r="E57" s="731">
        <v>170</v>
      </c>
      <c r="F57" s="731">
        <f t="shared" si="11"/>
        <v>41820</v>
      </c>
      <c r="G57" s="731">
        <v>90</v>
      </c>
      <c r="H57" s="731">
        <f t="shared" si="12"/>
        <v>22140</v>
      </c>
      <c r="I57" s="731">
        <f t="shared" si="13"/>
        <v>63960</v>
      </c>
      <c r="J57" s="561"/>
      <c r="K57" s="1" t="s">
        <v>1088</v>
      </c>
    </row>
    <row r="58" spans="1:11" ht="26.25" customHeight="1">
      <c r="A58" s="557" t="s">
        <v>1571</v>
      </c>
      <c r="B58" s="711" t="s">
        <v>1096</v>
      </c>
      <c r="C58" s="546">
        <v>33</v>
      </c>
      <c r="D58" s="730" t="s">
        <v>37</v>
      </c>
      <c r="E58" s="731">
        <v>2200</v>
      </c>
      <c r="F58" s="731">
        <f t="shared" si="11"/>
        <v>72600</v>
      </c>
      <c r="G58" s="731">
        <v>150</v>
      </c>
      <c r="H58" s="731">
        <f t="shared" si="12"/>
        <v>4950</v>
      </c>
      <c r="I58" s="548">
        <f t="shared" si="13"/>
        <v>77550</v>
      </c>
      <c r="J58" s="561"/>
      <c r="K58" s="1" t="s">
        <v>1088</v>
      </c>
    </row>
    <row r="59" spans="1:11" ht="26.25" customHeight="1">
      <c r="A59" s="557" t="s">
        <v>1572</v>
      </c>
      <c r="B59" s="711" t="s">
        <v>1097</v>
      </c>
      <c r="C59" s="546">
        <v>13</v>
      </c>
      <c r="D59" s="730" t="s">
        <v>37</v>
      </c>
      <c r="E59" s="731">
        <v>1050</v>
      </c>
      <c r="F59" s="731">
        <f t="shared" si="11"/>
        <v>13650</v>
      </c>
      <c r="G59" s="731">
        <v>150</v>
      </c>
      <c r="H59" s="731">
        <f t="shared" si="12"/>
        <v>1950</v>
      </c>
      <c r="I59" s="548">
        <f t="shared" si="13"/>
        <v>15600</v>
      </c>
      <c r="J59" s="561"/>
      <c r="K59" s="1" t="s">
        <v>1088</v>
      </c>
    </row>
    <row r="60" spans="1:11" ht="26.25" customHeight="1">
      <c r="A60" s="557" t="s">
        <v>1573</v>
      </c>
      <c r="B60" s="558" t="s">
        <v>1426</v>
      </c>
      <c r="C60" s="546">
        <v>1</v>
      </c>
      <c r="D60" s="547" t="s">
        <v>40</v>
      </c>
      <c r="E60" s="548">
        <f>SUM(F53:F59)*5%</f>
        <v>6963.5</v>
      </c>
      <c r="F60" s="548">
        <f>C60*E60</f>
        <v>6963.5</v>
      </c>
      <c r="G60" s="546">
        <f>E60*25%</f>
        <v>1740.875</v>
      </c>
      <c r="H60" s="548">
        <f>C60*G60</f>
        <v>1740.875</v>
      </c>
      <c r="I60" s="548">
        <f>F60+H60</f>
        <v>8704.375</v>
      </c>
      <c r="J60" s="561"/>
    </row>
    <row r="61" spans="1:11" ht="26.25" customHeight="1">
      <c r="A61" s="712"/>
      <c r="B61" s="713" t="s">
        <v>1308</v>
      </c>
      <c r="C61" s="714"/>
      <c r="D61" s="732"/>
      <c r="E61" s="733"/>
      <c r="F61" s="733"/>
      <c r="G61" s="714"/>
      <c r="H61" s="733"/>
      <c r="I61" s="644">
        <f>SUM(I53:I60)</f>
        <v>185524.375</v>
      </c>
      <c r="J61" s="718"/>
    </row>
    <row r="62" spans="1:11" ht="26.25" customHeight="1">
      <c r="A62" s="678">
        <v>5.4</v>
      </c>
      <c r="B62" s="735" t="s">
        <v>347</v>
      </c>
      <c r="C62" s="720"/>
      <c r="D62" s="721"/>
      <c r="E62" s="722"/>
      <c r="F62" s="722"/>
      <c r="G62" s="722"/>
      <c r="H62" s="722"/>
      <c r="I62" s="722"/>
      <c r="J62" s="723"/>
    </row>
    <row r="63" spans="1:11" ht="26.25" customHeight="1">
      <c r="A63" s="736"/>
      <c r="B63" s="735" t="s">
        <v>1075</v>
      </c>
      <c r="C63" s="737"/>
      <c r="D63" s="721"/>
      <c r="E63" s="722"/>
      <c r="F63" s="722"/>
      <c r="G63" s="722"/>
      <c r="H63" s="722"/>
      <c r="I63" s="722"/>
      <c r="J63" s="723"/>
    </row>
    <row r="64" spans="1:11" ht="26.25" customHeight="1">
      <c r="A64" s="685" t="s">
        <v>1182</v>
      </c>
      <c r="B64" s="738" t="s">
        <v>348</v>
      </c>
      <c r="C64" s="687"/>
      <c r="D64" s="688"/>
      <c r="E64" s="698"/>
      <c r="F64" s="698"/>
      <c r="G64" s="698"/>
      <c r="H64" s="698"/>
      <c r="I64" s="698"/>
      <c r="J64" s="703"/>
    </row>
    <row r="65" spans="1:12" ht="26.25" customHeight="1">
      <c r="A65" s="557" t="s">
        <v>1574</v>
      </c>
      <c r="B65" s="558" t="s">
        <v>349</v>
      </c>
      <c r="C65" s="546">
        <v>353</v>
      </c>
      <c r="D65" s="547" t="s">
        <v>8</v>
      </c>
      <c r="E65" s="548">
        <f>18450.4/100</f>
        <v>184.50400000000002</v>
      </c>
      <c r="F65" s="548">
        <f t="shared" ref="F65:F71" si="14">C65*E65</f>
        <v>65129.912000000004</v>
      </c>
      <c r="G65" s="548">
        <v>40</v>
      </c>
      <c r="H65" s="548">
        <f t="shared" ref="H65:H71" si="15">C65*G65</f>
        <v>14120</v>
      </c>
      <c r="I65" s="548">
        <f t="shared" ref="I65:I71" si="16">F65+H65</f>
        <v>79249.912000000011</v>
      </c>
      <c r="J65" s="561"/>
      <c r="K65" s="1" t="s">
        <v>1090</v>
      </c>
      <c r="L65" s="1" t="s">
        <v>1088</v>
      </c>
    </row>
    <row r="66" spans="1:12" ht="26.25" customHeight="1">
      <c r="A66" s="557" t="s">
        <v>1575</v>
      </c>
      <c r="B66" s="558" t="s">
        <v>1076</v>
      </c>
      <c r="C66" s="546">
        <v>244</v>
      </c>
      <c r="D66" s="547" t="s">
        <v>8</v>
      </c>
      <c r="E66" s="548">
        <f>12823.85/100</f>
        <v>128.23850000000002</v>
      </c>
      <c r="F66" s="548">
        <f t="shared" si="14"/>
        <v>31290.194000000003</v>
      </c>
      <c r="G66" s="548">
        <v>30</v>
      </c>
      <c r="H66" s="548">
        <f t="shared" si="15"/>
        <v>7320</v>
      </c>
      <c r="I66" s="548">
        <f t="shared" si="16"/>
        <v>38610.194000000003</v>
      </c>
      <c r="J66" s="561"/>
      <c r="K66" s="1" t="s">
        <v>1090</v>
      </c>
      <c r="L66" s="1" t="s">
        <v>1088</v>
      </c>
    </row>
    <row r="67" spans="1:12" ht="26.25" customHeight="1">
      <c r="A67" s="557" t="s">
        <v>1576</v>
      </c>
      <c r="B67" s="558" t="s">
        <v>1081</v>
      </c>
      <c r="C67" s="546">
        <v>118</v>
      </c>
      <c r="D67" s="547" t="s">
        <v>8</v>
      </c>
      <c r="E67" s="548">
        <f>9660/100</f>
        <v>96.6</v>
      </c>
      <c r="F67" s="548">
        <f t="shared" si="14"/>
        <v>11398.8</v>
      </c>
      <c r="G67" s="548">
        <v>25</v>
      </c>
      <c r="H67" s="548">
        <f t="shared" si="15"/>
        <v>2950</v>
      </c>
      <c r="I67" s="548">
        <f t="shared" si="16"/>
        <v>14348.8</v>
      </c>
      <c r="J67" s="561"/>
      <c r="K67" s="1" t="s">
        <v>1090</v>
      </c>
      <c r="L67" s="1" t="s">
        <v>1088</v>
      </c>
    </row>
    <row r="68" spans="1:12" ht="26.25" customHeight="1">
      <c r="A68" s="557" t="s">
        <v>1577</v>
      </c>
      <c r="B68" s="558" t="s">
        <v>350</v>
      </c>
      <c r="C68" s="546">
        <v>143</v>
      </c>
      <c r="D68" s="547" t="s">
        <v>8</v>
      </c>
      <c r="E68" s="548">
        <f>6158.251/100</f>
        <v>61.582509999999999</v>
      </c>
      <c r="F68" s="548">
        <f t="shared" si="14"/>
        <v>8806.298929999999</v>
      </c>
      <c r="G68" s="548">
        <v>20</v>
      </c>
      <c r="H68" s="548">
        <f t="shared" si="15"/>
        <v>2860</v>
      </c>
      <c r="I68" s="548">
        <f t="shared" si="16"/>
        <v>11666.298929999999</v>
      </c>
      <c r="J68" s="561"/>
      <c r="K68" s="1" t="s">
        <v>1090</v>
      </c>
      <c r="L68" s="1" t="s">
        <v>1088</v>
      </c>
    </row>
    <row r="69" spans="1:12" ht="26.25" customHeight="1">
      <c r="A69" s="557" t="s">
        <v>1578</v>
      </c>
      <c r="B69" s="558" t="s">
        <v>351</v>
      </c>
      <c r="C69" s="546">
        <v>393</v>
      </c>
      <c r="D69" s="547" t="s">
        <v>8</v>
      </c>
      <c r="E69" s="548">
        <f>3968.85/100</f>
        <v>39.688499999999998</v>
      </c>
      <c r="F69" s="548">
        <f t="shared" si="14"/>
        <v>15597.580499999998</v>
      </c>
      <c r="G69" s="548">
        <v>16</v>
      </c>
      <c r="H69" s="548">
        <f t="shared" si="15"/>
        <v>6288</v>
      </c>
      <c r="I69" s="548">
        <f t="shared" si="16"/>
        <v>21885.580499999996</v>
      </c>
      <c r="J69" s="561"/>
      <c r="K69" s="1" t="s">
        <v>1090</v>
      </c>
      <c r="L69" s="1" t="s">
        <v>1088</v>
      </c>
    </row>
    <row r="70" spans="1:12" ht="26.25" customHeight="1">
      <c r="A70" s="557" t="s">
        <v>1579</v>
      </c>
      <c r="B70" s="558" t="s">
        <v>352</v>
      </c>
      <c r="C70" s="546">
        <v>65</v>
      </c>
      <c r="D70" s="547" t="s">
        <v>8</v>
      </c>
      <c r="E70" s="548">
        <f>2278.35/100</f>
        <v>22.7835</v>
      </c>
      <c r="F70" s="548">
        <f t="shared" si="14"/>
        <v>1480.9275</v>
      </c>
      <c r="G70" s="548">
        <v>12</v>
      </c>
      <c r="H70" s="548">
        <f t="shared" si="15"/>
        <v>780</v>
      </c>
      <c r="I70" s="548">
        <f t="shared" si="16"/>
        <v>2260.9274999999998</v>
      </c>
      <c r="J70" s="561"/>
      <c r="K70" s="1" t="s">
        <v>1090</v>
      </c>
      <c r="L70" s="1" t="s">
        <v>1088</v>
      </c>
    </row>
    <row r="71" spans="1:12" ht="26.25" customHeight="1">
      <c r="A71" s="557" t="s">
        <v>1580</v>
      </c>
      <c r="B71" s="558" t="s">
        <v>353</v>
      </c>
      <c r="C71" s="546">
        <v>61</v>
      </c>
      <c r="D71" s="547" t="s">
        <v>8</v>
      </c>
      <c r="E71" s="548">
        <f>1384.4/100</f>
        <v>13.844000000000001</v>
      </c>
      <c r="F71" s="548">
        <f t="shared" si="14"/>
        <v>844.48400000000004</v>
      </c>
      <c r="G71" s="548">
        <v>10</v>
      </c>
      <c r="H71" s="548">
        <f t="shared" si="15"/>
        <v>610</v>
      </c>
      <c r="I71" s="548">
        <f t="shared" si="16"/>
        <v>1454.4839999999999</v>
      </c>
      <c r="J71" s="561"/>
      <c r="K71" s="1" t="s">
        <v>1090</v>
      </c>
      <c r="L71" s="1" t="s">
        <v>1088</v>
      </c>
    </row>
    <row r="72" spans="1:12" ht="26.25" customHeight="1">
      <c r="A72" s="693"/>
      <c r="B72" s="739" t="s">
        <v>1382</v>
      </c>
      <c r="C72" s="694"/>
      <c r="D72" s="695"/>
      <c r="E72" s="696"/>
      <c r="F72" s="696"/>
      <c r="G72" s="696"/>
      <c r="H72" s="696"/>
      <c r="I72" s="708">
        <f>SUM(I65:I71)</f>
        <v>169476.19692999998</v>
      </c>
      <c r="J72" s="709"/>
    </row>
    <row r="73" spans="1:12" ht="26.25" customHeight="1">
      <c r="A73" s="685" t="s">
        <v>1183</v>
      </c>
      <c r="B73" s="738" t="s">
        <v>355</v>
      </c>
      <c r="C73" s="687"/>
      <c r="D73" s="688"/>
      <c r="E73" s="698"/>
      <c r="F73" s="698"/>
      <c r="G73" s="698"/>
      <c r="H73" s="698"/>
      <c r="I73" s="698"/>
      <c r="J73" s="703"/>
    </row>
    <row r="74" spans="1:12" ht="26.25" customHeight="1">
      <c r="A74" s="557" t="s">
        <v>1581</v>
      </c>
      <c r="B74" s="558" t="s">
        <v>1082</v>
      </c>
      <c r="C74" s="546">
        <v>88</v>
      </c>
      <c r="D74" s="547" t="s">
        <v>8</v>
      </c>
      <c r="E74" s="548">
        <f>767.2/3</f>
        <v>255.73333333333335</v>
      </c>
      <c r="F74" s="548">
        <f>C74*E74</f>
        <v>22504.533333333333</v>
      </c>
      <c r="G74" s="548">
        <v>48</v>
      </c>
      <c r="H74" s="548">
        <f t="shared" ref="H74:H76" si="17">C74*G74</f>
        <v>4224</v>
      </c>
      <c r="I74" s="548">
        <f t="shared" ref="I74:I76" si="18">F74+H74</f>
        <v>26728.533333333333</v>
      </c>
      <c r="J74" s="561"/>
      <c r="K74" s="1" t="s">
        <v>1090</v>
      </c>
      <c r="L74" s="1" t="s">
        <v>1091</v>
      </c>
    </row>
    <row r="75" spans="1:12" ht="26.25" customHeight="1">
      <c r="A75" s="557" t="s">
        <v>1583</v>
      </c>
      <c r="B75" s="558" t="s">
        <v>1079</v>
      </c>
      <c r="C75" s="546">
        <v>29</v>
      </c>
      <c r="D75" s="547" t="s">
        <v>8</v>
      </c>
      <c r="E75" s="548">
        <f>561.4/3</f>
        <v>187.13333333333333</v>
      </c>
      <c r="F75" s="548">
        <f>C75*E75</f>
        <v>5426.8666666666668</v>
      </c>
      <c r="G75" s="548">
        <v>42</v>
      </c>
      <c r="H75" s="548">
        <f t="shared" si="17"/>
        <v>1218</v>
      </c>
      <c r="I75" s="548">
        <f t="shared" si="18"/>
        <v>6644.8666666666668</v>
      </c>
      <c r="J75" s="561"/>
      <c r="K75" s="1" t="s">
        <v>1090</v>
      </c>
      <c r="L75" s="1" t="s">
        <v>1091</v>
      </c>
    </row>
    <row r="76" spans="1:12" ht="26.25" customHeight="1">
      <c r="A76" s="557" t="s">
        <v>1584</v>
      </c>
      <c r="B76" s="558" t="s">
        <v>1427</v>
      </c>
      <c r="C76" s="546">
        <v>1</v>
      </c>
      <c r="D76" s="547" t="s">
        <v>40</v>
      </c>
      <c r="E76" s="548">
        <f>SUM(F73:F75)*10%</f>
        <v>2793.1400000000003</v>
      </c>
      <c r="F76" s="548">
        <f t="shared" ref="F76" si="19">C76*E76</f>
        <v>2793.1400000000003</v>
      </c>
      <c r="G76" s="548">
        <f>SUM(E76)*25%</f>
        <v>698.28500000000008</v>
      </c>
      <c r="H76" s="548">
        <f t="shared" si="17"/>
        <v>698.28500000000008</v>
      </c>
      <c r="I76" s="548">
        <f t="shared" si="18"/>
        <v>3491.4250000000002</v>
      </c>
      <c r="J76" s="561"/>
    </row>
    <row r="77" spans="1:12" ht="26.25" customHeight="1">
      <c r="A77" s="693"/>
      <c r="B77" s="1310" t="s">
        <v>1383</v>
      </c>
      <c r="C77" s="694"/>
      <c r="D77" s="695"/>
      <c r="E77" s="696"/>
      <c r="F77" s="696"/>
      <c r="G77" s="696"/>
      <c r="H77" s="696"/>
      <c r="I77" s="708">
        <f>SUM(I74:I76)</f>
        <v>36864.825000000004</v>
      </c>
      <c r="J77" s="709"/>
    </row>
    <row r="78" spans="1:12" ht="26.25" customHeight="1">
      <c r="A78" s="685" t="s">
        <v>1184</v>
      </c>
      <c r="B78" s="738" t="s">
        <v>1074</v>
      </c>
      <c r="C78" s="687"/>
      <c r="D78" s="688"/>
      <c r="E78" s="698"/>
      <c r="F78" s="698"/>
      <c r="G78" s="698"/>
      <c r="H78" s="698"/>
      <c r="I78" s="698"/>
      <c r="J78" s="703"/>
    </row>
    <row r="79" spans="1:12" ht="26.25" customHeight="1">
      <c r="A79" s="557" t="s">
        <v>1585</v>
      </c>
      <c r="B79" s="558" t="s">
        <v>1098</v>
      </c>
      <c r="C79" s="546">
        <f>ROUNDUP((0.91+1.51+3.25+21.03+0.7+13+0.95+2.15+0.6+2.2+24.45+2.51+4.65+(11.1*2)+(1.85*5)+(1.75*2))/2.4,0)</f>
        <v>48</v>
      </c>
      <c r="D79" s="547" t="s">
        <v>74</v>
      </c>
      <c r="E79" s="548">
        <v>615</v>
      </c>
      <c r="F79" s="548">
        <f>C79*E79</f>
        <v>29520</v>
      </c>
      <c r="G79" s="548">
        <v>55</v>
      </c>
      <c r="H79" s="548">
        <f>C79*G79</f>
        <v>2640</v>
      </c>
      <c r="I79" s="548">
        <f>F79+H79</f>
        <v>32160</v>
      </c>
      <c r="J79" s="561" t="s">
        <v>1099</v>
      </c>
      <c r="K79" s="1" t="s">
        <v>1088</v>
      </c>
      <c r="L79" s="1" t="s">
        <v>1091</v>
      </c>
    </row>
    <row r="80" spans="1:12" ht="26.25" customHeight="1">
      <c r="A80" s="557" t="s">
        <v>1586</v>
      </c>
      <c r="B80" s="558" t="s">
        <v>1100</v>
      </c>
      <c r="C80" s="546">
        <f>ROUNDUP((3.8+1.05+0.65+23.52+1.87+1.9+0.6+2.6+24.42+2.24+10.11+6.8+7.65+6.1+7.65+6.8+5.8+12.67+12.82+6.9+1+4.65+(11.1*2))/2.4,0)</f>
        <v>73</v>
      </c>
      <c r="D80" s="547" t="s">
        <v>74</v>
      </c>
      <c r="E80" s="548">
        <v>395</v>
      </c>
      <c r="F80" s="548">
        <f>C80*E80</f>
        <v>28835</v>
      </c>
      <c r="G80" s="548">
        <v>35</v>
      </c>
      <c r="H80" s="548">
        <f>C80*G80</f>
        <v>2555</v>
      </c>
      <c r="I80" s="548">
        <f>F80+H80</f>
        <v>31390</v>
      </c>
      <c r="J80" s="561" t="s">
        <v>1099</v>
      </c>
      <c r="K80" s="1" t="s">
        <v>1088</v>
      </c>
      <c r="L80" s="1" t="s">
        <v>1091</v>
      </c>
    </row>
    <row r="81" spans="1:12" ht="26.25" customHeight="1">
      <c r="A81" s="557" t="s">
        <v>1587</v>
      </c>
      <c r="B81" s="558" t="s">
        <v>1101</v>
      </c>
      <c r="C81" s="546">
        <v>5</v>
      </c>
      <c r="D81" s="547" t="s">
        <v>74</v>
      </c>
      <c r="E81" s="548">
        <v>544</v>
      </c>
      <c r="F81" s="548">
        <f>C81*E81</f>
        <v>2720</v>
      </c>
      <c r="G81" s="548">
        <v>45</v>
      </c>
      <c r="H81" s="548">
        <f>C81*G81</f>
        <v>225</v>
      </c>
      <c r="I81" s="548">
        <f>F81+H81</f>
        <v>2945</v>
      </c>
      <c r="J81" s="561" t="s">
        <v>1099</v>
      </c>
      <c r="K81" s="1" t="s">
        <v>1088</v>
      </c>
      <c r="L81" s="1" t="s">
        <v>1091</v>
      </c>
    </row>
    <row r="82" spans="1:12" ht="26.25" customHeight="1">
      <c r="A82" s="557" t="s">
        <v>1588</v>
      </c>
      <c r="B82" s="558" t="s">
        <v>1428</v>
      </c>
      <c r="C82" s="546">
        <v>1</v>
      </c>
      <c r="D82" s="547" t="s">
        <v>40</v>
      </c>
      <c r="E82" s="548">
        <f>SUM(F78:F81)*10%</f>
        <v>6107.5</v>
      </c>
      <c r="F82" s="548">
        <f t="shared" ref="F82" si="20">C82*E82</f>
        <v>6107.5</v>
      </c>
      <c r="G82" s="548">
        <f>SUM(E82)*25%</f>
        <v>1526.875</v>
      </c>
      <c r="H82" s="548">
        <f t="shared" ref="H82" si="21">C82*G82</f>
        <v>1526.875</v>
      </c>
      <c r="I82" s="548">
        <f t="shared" ref="I82" si="22">F82+H82</f>
        <v>7634.375</v>
      </c>
      <c r="J82" s="561"/>
    </row>
    <row r="83" spans="1:12" ht="26.25" customHeight="1">
      <c r="A83" s="693"/>
      <c r="B83" s="739" t="s">
        <v>1384</v>
      </c>
      <c r="C83" s="694"/>
      <c r="D83" s="695"/>
      <c r="E83" s="696"/>
      <c r="F83" s="696"/>
      <c r="G83" s="696"/>
      <c r="H83" s="696"/>
      <c r="I83" s="708">
        <f>SUM(I79:I82)</f>
        <v>74129.375</v>
      </c>
      <c r="J83" s="709"/>
    </row>
    <row r="84" spans="1:12" ht="26.25" customHeight="1">
      <c r="A84" s="685" t="s">
        <v>1185</v>
      </c>
      <c r="B84" s="740" t="s">
        <v>1075</v>
      </c>
      <c r="C84" s="687"/>
      <c r="D84" s="688"/>
      <c r="E84" s="698"/>
      <c r="F84" s="698"/>
      <c r="G84" s="698"/>
      <c r="H84" s="698"/>
      <c r="I84" s="698"/>
      <c r="J84" s="703"/>
    </row>
    <row r="85" spans="1:12" ht="26.25" customHeight="1">
      <c r="A85" s="557" t="s">
        <v>1589</v>
      </c>
      <c r="B85" s="558" t="s">
        <v>353</v>
      </c>
      <c r="C85" s="546">
        <v>13237</v>
      </c>
      <c r="D85" s="547" t="s">
        <v>8</v>
      </c>
      <c r="E85" s="548">
        <f>1384.4/100</f>
        <v>13.844000000000001</v>
      </c>
      <c r="F85" s="548">
        <f t="shared" ref="F85" si="23">C85*E85</f>
        <v>183253.02800000002</v>
      </c>
      <c r="G85" s="548">
        <v>10</v>
      </c>
      <c r="H85" s="548">
        <f t="shared" ref="H85" si="24">C85*G85</f>
        <v>132370</v>
      </c>
      <c r="I85" s="548">
        <f t="shared" ref="I85" si="25">F85+H85</f>
        <v>315623.02800000005</v>
      </c>
      <c r="J85" s="561"/>
      <c r="K85" s="1" t="s">
        <v>1090</v>
      </c>
      <c r="L85" s="1" t="s">
        <v>1088</v>
      </c>
    </row>
    <row r="86" spans="1:12" ht="26.25" customHeight="1">
      <c r="A86" s="557" t="s">
        <v>1590</v>
      </c>
      <c r="B86" s="558" t="s">
        <v>356</v>
      </c>
      <c r="C86" s="546">
        <v>14963</v>
      </c>
      <c r="D86" s="547" t="s">
        <v>8</v>
      </c>
      <c r="E86" s="548">
        <f>919.28/100</f>
        <v>9.1928000000000001</v>
      </c>
      <c r="F86" s="548">
        <f>C86*E86</f>
        <v>137551.8664</v>
      </c>
      <c r="G86" s="548">
        <v>7</v>
      </c>
      <c r="H86" s="548">
        <f>C86*G86</f>
        <v>104741</v>
      </c>
      <c r="I86" s="548">
        <f>F86+H86</f>
        <v>242292.8664</v>
      </c>
      <c r="J86" s="701"/>
      <c r="K86" s="1" t="s">
        <v>1102</v>
      </c>
      <c r="L86" s="1" t="s">
        <v>1088</v>
      </c>
    </row>
    <row r="87" spans="1:12" ht="26.25" customHeight="1">
      <c r="A87" s="557" t="s">
        <v>1591</v>
      </c>
      <c r="B87" s="558" t="s">
        <v>1429</v>
      </c>
      <c r="C87" s="546">
        <v>1</v>
      </c>
      <c r="D87" s="547" t="s">
        <v>40</v>
      </c>
      <c r="E87" s="548">
        <f>SUM(F85:F86)*5%</f>
        <v>16040.244720000001</v>
      </c>
      <c r="F87" s="548">
        <f t="shared" ref="F87" si="26">C87*E87</f>
        <v>16040.244720000001</v>
      </c>
      <c r="G87" s="548">
        <f>SUM(E87)*25%</f>
        <v>4010.0611800000001</v>
      </c>
      <c r="H87" s="548">
        <f>C87*G87</f>
        <v>4010.0611800000001</v>
      </c>
      <c r="I87" s="548">
        <f>F87+H87</f>
        <v>20050.305899999999</v>
      </c>
      <c r="J87" s="701"/>
    </row>
    <row r="88" spans="1:12" ht="26.25" customHeight="1">
      <c r="A88" s="693"/>
      <c r="B88" s="739" t="s">
        <v>1385</v>
      </c>
      <c r="C88" s="694"/>
      <c r="D88" s="695"/>
      <c r="E88" s="696"/>
      <c r="F88" s="696"/>
      <c r="G88" s="696"/>
      <c r="H88" s="696"/>
      <c r="I88" s="708">
        <f>SUM(I85:I87)</f>
        <v>577966.20030000014</v>
      </c>
      <c r="J88" s="709"/>
    </row>
    <row r="89" spans="1:12" ht="26.25" customHeight="1">
      <c r="A89" s="685" t="s">
        <v>1186</v>
      </c>
      <c r="B89" s="738" t="s">
        <v>357</v>
      </c>
      <c r="C89" s="687"/>
      <c r="D89" s="688"/>
      <c r="E89" s="698"/>
      <c r="F89" s="698"/>
      <c r="G89" s="698"/>
      <c r="H89" s="698"/>
      <c r="I89" s="698"/>
      <c r="J89" s="703"/>
    </row>
    <row r="90" spans="1:12" ht="26.25" customHeight="1">
      <c r="A90" s="557" t="s">
        <v>1592</v>
      </c>
      <c r="B90" s="558" t="s">
        <v>358</v>
      </c>
      <c r="C90" s="546">
        <v>32</v>
      </c>
      <c r="D90" s="547" t="s">
        <v>8</v>
      </c>
      <c r="E90" s="548">
        <f>134.4/3</f>
        <v>44.800000000000004</v>
      </c>
      <c r="F90" s="548">
        <f>C90*E90</f>
        <v>1433.6000000000001</v>
      </c>
      <c r="G90" s="548">
        <v>24</v>
      </c>
      <c r="H90" s="548">
        <f>C90*G90</f>
        <v>768</v>
      </c>
      <c r="I90" s="548">
        <f>F90+H90</f>
        <v>2201.6000000000004</v>
      </c>
      <c r="J90" s="561"/>
      <c r="K90" s="1" t="s">
        <v>1090</v>
      </c>
      <c r="L90" s="1" t="s">
        <v>1091</v>
      </c>
    </row>
    <row r="91" spans="1:12" ht="26.25" customHeight="1">
      <c r="A91" s="557" t="s">
        <v>1593</v>
      </c>
      <c r="B91" s="558" t="s">
        <v>359</v>
      </c>
      <c r="C91" s="546">
        <f>6490*0.7</f>
        <v>4543</v>
      </c>
      <c r="D91" s="547" t="s">
        <v>8</v>
      </c>
      <c r="E91" s="548">
        <f>93.1/3</f>
        <v>31.033333333333331</v>
      </c>
      <c r="F91" s="548">
        <f>C91*E91</f>
        <v>140984.43333333332</v>
      </c>
      <c r="G91" s="548">
        <v>22</v>
      </c>
      <c r="H91" s="548">
        <f>C91*G91</f>
        <v>99946</v>
      </c>
      <c r="I91" s="548">
        <f>F91+H91</f>
        <v>240930.43333333332</v>
      </c>
      <c r="J91" s="561"/>
      <c r="K91" s="1" t="s">
        <v>1090</v>
      </c>
      <c r="L91" s="1" t="s">
        <v>1091</v>
      </c>
    </row>
    <row r="92" spans="1:12" ht="26.25" customHeight="1">
      <c r="A92" s="557" t="s">
        <v>1594</v>
      </c>
      <c r="B92" s="558" t="s">
        <v>1430</v>
      </c>
      <c r="C92" s="546">
        <v>1</v>
      </c>
      <c r="D92" s="547" t="s">
        <v>40</v>
      </c>
      <c r="E92" s="548">
        <f>SUM(F90:F91)*10%</f>
        <v>14241.803333333333</v>
      </c>
      <c r="F92" s="548">
        <f t="shared" ref="F92:F108" si="27">C92*E92</f>
        <v>14241.803333333333</v>
      </c>
      <c r="G92" s="548">
        <f>SUM(E92)*25%</f>
        <v>3560.4508333333333</v>
      </c>
      <c r="H92" s="548">
        <f>C92*G92</f>
        <v>3560.4508333333333</v>
      </c>
      <c r="I92" s="548">
        <f>F92+H92</f>
        <v>17802.254166666666</v>
      </c>
      <c r="J92" s="561"/>
    </row>
    <row r="93" spans="1:12" ht="26.25" customHeight="1">
      <c r="A93" s="693"/>
      <c r="B93" s="1310" t="s">
        <v>1386</v>
      </c>
      <c r="C93" s="694"/>
      <c r="D93" s="695"/>
      <c r="E93" s="696"/>
      <c r="F93" s="696"/>
      <c r="G93" s="696"/>
      <c r="H93" s="696"/>
      <c r="I93" s="708">
        <f>SUM(I90:I92)</f>
        <v>260934.28749999998</v>
      </c>
      <c r="J93" s="709"/>
    </row>
    <row r="94" spans="1:12" ht="50.25" customHeight="1">
      <c r="A94" s="712"/>
      <c r="B94" s="741" t="s">
        <v>1309</v>
      </c>
      <c r="C94" s="714"/>
      <c r="D94" s="732"/>
      <c r="E94" s="733"/>
      <c r="F94" s="733"/>
      <c r="G94" s="733"/>
      <c r="H94" s="733"/>
      <c r="I94" s="644">
        <f>I72+I77+I83+I88+I93</f>
        <v>1119370.88473</v>
      </c>
      <c r="J94" s="718"/>
    </row>
    <row r="95" spans="1:12" ht="26.25" customHeight="1">
      <c r="A95" s="678">
        <v>5.5</v>
      </c>
      <c r="B95" s="735" t="s">
        <v>360</v>
      </c>
      <c r="C95" s="720"/>
      <c r="D95" s="721"/>
      <c r="E95" s="722"/>
      <c r="F95" s="722"/>
      <c r="G95" s="722"/>
      <c r="H95" s="722"/>
      <c r="I95" s="722"/>
      <c r="J95" s="723"/>
    </row>
    <row r="96" spans="1:12" ht="26.25" customHeight="1">
      <c r="A96" s="557" t="s">
        <v>1595</v>
      </c>
      <c r="B96" s="558" t="s">
        <v>361</v>
      </c>
      <c r="C96" s="546">
        <v>1</v>
      </c>
      <c r="D96" s="742" t="s">
        <v>37</v>
      </c>
      <c r="E96" s="548">
        <f>33600+6500</f>
        <v>40100</v>
      </c>
      <c r="F96" s="548">
        <f t="shared" si="27"/>
        <v>40100</v>
      </c>
      <c r="G96" s="743">
        <v>5000</v>
      </c>
      <c r="H96" s="548">
        <f t="shared" ref="H96:H102" si="28">C96*G96</f>
        <v>5000</v>
      </c>
      <c r="I96" s="548">
        <f t="shared" ref="I96:I102" si="29">F96+H96</f>
        <v>45100</v>
      </c>
      <c r="J96" s="561"/>
      <c r="K96" s="1" t="s">
        <v>1103</v>
      </c>
    </row>
    <row r="97" spans="1:12" ht="26.25" customHeight="1">
      <c r="A97" s="557" t="s">
        <v>1597</v>
      </c>
      <c r="B97" s="558" t="s">
        <v>362</v>
      </c>
      <c r="C97" s="546">
        <v>1</v>
      </c>
      <c r="D97" s="742" t="s">
        <v>37</v>
      </c>
      <c r="E97" s="548">
        <v>19700</v>
      </c>
      <c r="F97" s="548">
        <f t="shared" si="27"/>
        <v>19700</v>
      </c>
      <c r="G97" s="743">
        <v>2500</v>
      </c>
      <c r="H97" s="548">
        <f t="shared" si="28"/>
        <v>2500</v>
      </c>
      <c r="I97" s="548">
        <f t="shared" si="29"/>
        <v>22200</v>
      </c>
      <c r="J97" s="561"/>
      <c r="K97" s="1" t="s">
        <v>1103</v>
      </c>
    </row>
    <row r="98" spans="1:12" ht="26.25" customHeight="1">
      <c r="A98" s="557" t="s">
        <v>1598</v>
      </c>
      <c r="B98" s="558" t="s">
        <v>363</v>
      </c>
      <c r="C98" s="546">
        <v>1</v>
      </c>
      <c r="D98" s="742" t="s">
        <v>37</v>
      </c>
      <c r="E98" s="548">
        <v>6760</v>
      </c>
      <c r="F98" s="548">
        <f t="shared" si="27"/>
        <v>6760</v>
      </c>
      <c r="G98" s="743">
        <v>500</v>
      </c>
      <c r="H98" s="548">
        <f t="shared" si="28"/>
        <v>500</v>
      </c>
      <c r="I98" s="548">
        <f t="shared" si="29"/>
        <v>7260</v>
      </c>
      <c r="J98" s="561"/>
      <c r="K98" s="1" t="s">
        <v>1103</v>
      </c>
    </row>
    <row r="99" spans="1:12" ht="26.25" customHeight="1">
      <c r="A99" s="557" t="s">
        <v>1599</v>
      </c>
      <c r="B99" s="558" t="s">
        <v>1083</v>
      </c>
      <c r="C99" s="546">
        <v>43</v>
      </c>
      <c r="D99" s="742" t="s">
        <v>37</v>
      </c>
      <c r="E99" s="548">
        <v>1150</v>
      </c>
      <c r="F99" s="548">
        <f t="shared" si="27"/>
        <v>49450</v>
      </c>
      <c r="G99" s="743">
        <v>150</v>
      </c>
      <c r="H99" s="548">
        <f t="shared" si="28"/>
        <v>6450</v>
      </c>
      <c r="I99" s="548">
        <f t="shared" si="29"/>
        <v>55900</v>
      </c>
      <c r="J99" s="561"/>
      <c r="K99" s="1" t="s">
        <v>1103</v>
      </c>
      <c r="L99" s="1" t="s">
        <v>1088</v>
      </c>
    </row>
    <row r="100" spans="1:12" ht="26.25" customHeight="1">
      <c r="A100" s="557" t="s">
        <v>1600</v>
      </c>
      <c r="B100" s="558" t="s">
        <v>1084</v>
      </c>
      <c r="C100" s="546">
        <v>42</v>
      </c>
      <c r="D100" s="742" t="s">
        <v>37</v>
      </c>
      <c r="E100" s="548">
        <v>850</v>
      </c>
      <c r="F100" s="548">
        <f t="shared" si="27"/>
        <v>35700</v>
      </c>
      <c r="G100" s="743">
        <v>150</v>
      </c>
      <c r="H100" s="548">
        <f t="shared" si="28"/>
        <v>6300</v>
      </c>
      <c r="I100" s="548">
        <f t="shared" si="29"/>
        <v>42000</v>
      </c>
      <c r="J100" s="561"/>
      <c r="K100" s="1" t="s">
        <v>1103</v>
      </c>
      <c r="L100" s="1" t="s">
        <v>1088</v>
      </c>
    </row>
    <row r="101" spans="1:12" ht="26.25" customHeight="1">
      <c r="A101" s="557" t="s">
        <v>1601</v>
      </c>
      <c r="B101" s="558" t="s">
        <v>1085</v>
      </c>
      <c r="C101" s="546">
        <v>13</v>
      </c>
      <c r="D101" s="742" t="s">
        <v>37</v>
      </c>
      <c r="E101" s="548">
        <v>1650</v>
      </c>
      <c r="F101" s="548">
        <f t="shared" si="27"/>
        <v>21450</v>
      </c>
      <c r="G101" s="743">
        <v>150</v>
      </c>
      <c r="H101" s="548">
        <f t="shared" si="28"/>
        <v>1950</v>
      </c>
      <c r="I101" s="548">
        <f t="shared" si="29"/>
        <v>23400</v>
      </c>
      <c r="J101" s="561"/>
      <c r="K101" s="1" t="s">
        <v>1103</v>
      </c>
      <c r="L101" s="1" t="s">
        <v>1088</v>
      </c>
    </row>
    <row r="102" spans="1:12" ht="26.25" customHeight="1">
      <c r="A102" s="557" t="s">
        <v>1602</v>
      </c>
      <c r="B102" s="558" t="s">
        <v>1431</v>
      </c>
      <c r="C102" s="546">
        <v>13</v>
      </c>
      <c r="D102" s="742" t="s">
        <v>37</v>
      </c>
      <c r="E102" s="548">
        <v>850</v>
      </c>
      <c r="F102" s="548">
        <f t="shared" si="27"/>
        <v>11050</v>
      </c>
      <c r="G102" s="743">
        <v>150</v>
      </c>
      <c r="H102" s="548">
        <f t="shared" si="28"/>
        <v>1950</v>
      </c>
      <c r="I102" s="548">
        <f t="shared" si="29"/>
        <v>13000</v>
      </c>
      <c r="J102" s="561"/>
    </row>
    <row r="103" spans="1:12" ht="26.25" customHeight="1">
      <c r="A103" s="557" t="s">
        <v>1603</v>
      </c>
      <c r="B103" s="558" t="s">
        <v>364</v>
      </c>
      <c r="C103" s="546"/>
      <c r="D103" s="744"/>
      <c r="E103" s="549"/>
      <c r="F103" s="560"/>
      <c r="G103" s="560"/>
      <c r="H103" s="560"/>
      <c r="I103" s="560"/>
      <c r="J103" s="561"/>
      <c r="K103" s="1" t="s">
        <v>1090</v>
      </c>
      <c r="L103" s="1" t="s">
        <v>1088</v>
      </c>
    </row>
    <row r="104" spans="1:12" ht="26.25" customHeight="1">
      <c r="A104" s="557" t="s">
        <v>1604</v>
      </c>
      <c r="B104" s="558" t="s">
        <v>1086</v>
      </c>
      <c r="C104" s="546">
        <v>1965</v>
      </c>
      <c r="D104" s="547" t="s">
        <v>8</v>
      </c>
      <c r="E104" s="548">
        <f>919.28/100</f>
        <v>9.1928000000000001</v>
      </c>
      <c r="F104" s="548">
        <f t="shared" si="27"/>
        <v>18063.851999999999</v>
      </c>
      <c r="G104" s="548">
        <v>7</v>
      </c>
      <c r="H104" s="548">
        <f t="shared" ref="H104:H105" si="30">C104*G104</f>
        <v>13755</v>
      </c>
      <c r="I104" s="548">
        <f t="shared" ref="I104:I105" si="31">F104+H104</f>
        <v>31818.851999999999</v>
      </c>
      <c r="J104" s="561"/>
      <c r="K104" s="1" t="s">
        <v>1104</v>
      </c>
    </row>
    <row r="105" spans="1:12" ht="26.25" customHeight="1">
      <c r="A105" s="557" t="s">
        <v>1605</v>
      </c>
      <c r="B105" s="558" t="s">
        <v>365</v>
      </c>
      <c r="C105" s="546">
        <v>485</v>
      </c>
      <c r="D105" s="547" t="s">
        <v>8</v>
      </c>
      <c r="E105" s="548">
        <v>12.68</v>
      </c>
      <c r="F105" s="548">
        <f t="shared" si="27"/>
        <v>6149.8</v>
      </c>
      <c r="G105" s="548">
        <v>10</v>
      </c>
      <c r="H105" s="548">
        <f t="shared" si="30"/>
        <v>4850</v>
      </c>
      <c r="I105" s="548">
        <f t="shared" si="31"/>
        <v>10999.8</v>
      </c>
      <c r="J105" s="561"/>
    </row>
    <row r="106" spans="1:12" ht="26.25" customHeight="1">
      <c r="A106" s="557" t="s">
        <v>1606</v>
      </c>
      <c r="B106" s="558" t="s">
        <v>354</v>
      </c>
      <c r="C106" s="546"/>
      <c r="D106" s="744"/>
      <c r="E106" s="549"/>
      <c r="F106" s="560"/>
      <c r="G106" s="560"/>
      <c r="H106" s="560"/>
      <c r="I106" s="560"/>
      <c r="J106" s="561"/>
      <c r="K106" s="1" t="s">
        <v>1090</v>
      </c>
      <c r="L106" s="1" t="s">
        <v>1088</v>
      </c>
    </row>
    <row r="107" spans="1:12" ht="26.25" customHeight="1">
      <c r="A107" s="557" t="s">
        <v>1607</v>
      </c>
      <c r="B107" s="558" t="s">
        <v>359</v>
      </c>
      <c r="C107" s="546">
        <v>1225</v>
      </c>
      <c r="D107" s="547" t="s">
        <v>8</v>
      </c>
      <c r="E107" s="548">
        <f>93.1/3</f>
        <v>31.033333333333331</v>
      </c>
      <c r="F107" s="548">
        <f t="shared" si="27"/>
        <v>38015.833333333328</v>
      </c>
      <c r="G107" s="548">
        <v>22</v>
      </c>
      <c r="H107" s="548">
        <f t="shared" ref="H107:H108" si="32">C107*G107</f>
        <v>26950</v>
      </c>
      <c r="I107" s="548">
        <f t="shared" ref="I107:I108" si="33">F107+H107</f>
        <v>64965.833333333328</v>
      </c>
      <c r="J107" s="561"/>
    </row>
    <row r="108" spans="1:12" ht="26.25" customHeight="1">
      <c r="A108" s="557" t="s">
        <v>1608</v>
      </c>
      <c r="B108" s="1313" t="s">
        <v>1432</v>
      </c>
      <c r="C108" s="546">
        <v>1</v>
      </c>
      <c r="D108" s="547" t="s">
        <v>40</v>
      </c>
      <c r="E108" s="548">
        <f>SUM(F103:F107)*10%</f>
        <v>6222.9485333333332</v>
      </c>
      <c r="F108" s="548">
        <f t="shared" si="27"/>
        <v>6222.9485333333332</v>
      </c>
      <c r="G108" s="548">
        <f>SUM(E108)*25%</f>
        <v>1555.7371333333333</v>
      </c>
      <c r="H108" s="548">
        <f t="shared" si="32"/>
        <v>1555.7371333333333</v>
      </c>
      <c r="I108" s="548">
        <f t="shared" si="33"/>
        <v>7778.6856666666663</v>
      </c>
      <c r="J108" s="561"/>
    </row>
    <row r="109" spans="1:12" ht="26.25" customHeight="1">
      <c r="A109" s="745"/>
      <c r="B109" s="746" t="s">
        <v>1310</v>
      </c>
      <c r="C109" s="714"/>
      <c r="D109" s="732"/>
      <c r="E109" s="733"/>
      <c r="F109" s="733"/>
      <c r="G109" s="733"/>
      <c r="H109" s="733"/>
      <c r="I109" s="644">
        <f>SUM(I96:I108)</f>
        <v>324423.17099999997</v>
      </c>
      <c r="J109" s="718"/>
    </row>
    <row r="110" spans="1:12" ht="26.25" customHeight="1">
      <c r="A110" s="678">
        <v>5.6</v>
      </c>
      <c r="B110" s="735" t="s">
        <v>371</v>
      </c>
      <c r="C110" s="720"/>
      <c r="D110" s="721"/>
      <c r="E110" s="722"/>
      <c r="F110" s="722"/>
      <c r="G110" s="722"/>
      <c r="H110" s="722"/>
      <c r="I110" s="722"/>
      <c r="J110" s="723"/>
      <c r="K110" s="1" t="s">
        <v>1107</v>
      </c>
    </row>
    <row r="111" spans="1:12" ht="26.25" customHeight="1">
      <c r="A111" s="557" t="s">
        <v>1609</v>
      </c>
      <c r="B111" s="558" t="s">
        <v>366</v>
      </c>
      <c r="C111" s="546">
        <v>25</v>
      </c>
      <c r="D111" s="559" t="s">
        <v>37</v>
      </c>
      <c r="E111" s="546">
        <v>1600</v>
      </c>
      <c r="F111" s="549">
        <f t="shared" ref="F111:F117" si="34">C111*E111</f>
        <v>40000</v>
      </c>
      <c r="G111" s="546">
        <f>E111*15%</f>
        <v>240</v>
      </c>
      <c r="H111" s="549">
        <f t="shared" ref="H111:H117" si="35">C111*G111</f>
        <v>6000</v>
      </c>
      <c r="I111" s="549">
        <f t="shared" ref="I111:I117" si="36">F111+H111</f>
        <v>46000</v>
      </c>
      <c r="J111" s="561"/>
      <c r="K111" s="1" t="s">
        <v>1107</v>
      </c>
    </row>
    <row r="112" spans="1:12" ht="26.25" customHeight="1">
      <c r="A112" s="557" t="s">
        <v>1610</v>
      </c>
      <c r="B112" s="558" t="s">
        <v>367</v>
      </c>
      <c r="C112" s="546">
        <v>25</v>
      </c>
      <c r="D112" s="559" t="s">
        <v>37</v>
      </c>
      <c r="E112" s="546">
        <v>920</v>
      </c>
      <c r="F112" s="549">
        <f t="shared" si="34"/>
        <v>23000</v>
      </c>
      <c r="G112" s="546">
        <f t="shared" ref="G112:G115" si="37">E112*15%</f>
        <v>138</v>
      </c>
      <c r="H112" s="549">
        <f t="shared" si="35"/>
        <v>3450</v>
      </c>
      <c r="I112" s="549">
        <f t="shared" si="36"/>
        <v>26450</v>
      </c>
      <c r="J112" s="561"/>
    </row>
    <row r="113" spans="1:32" ht="26.25" customHeight="1">
      <c r="A113" s="557" t="s">
        <v>1611</v>
      </c>
      <c r="B113" s="558" t="s">
        <v>338</v>
      </c>
      <c r="C113" s="546">
        <v>534</v>
      </c>
      <c r="D113" s="559" t="s">
        <v>8</v>
      </c>
      <c r="E113" s="546">
        <v>200</v>
      </c>
      <c r="F113" s="549">
        <f t="shared" si="34"/>
        <v>106800</v>
      </c>
      <c r="G113" s="546">
        <f t="shared" si="37"/>
        <v>30</v>
      </c>
      <c r="H113" s="549">
        <f t="shared" si="35"/>
        <v>16020</v>
      </c>
      <c r="I113" s="549">
        <f t="shared" si="36"/>
        <v>122820</v>
      </c>
      <c r="J113" s="561"/>
    </row>
    <row r="114" spans="1:32" ht="26.25" customHeight="1">
      <c r="A114" s="557" t="s">
        <v>1612</v>
      </c>
      <c r="B114" s="558" t="s">
        <v>1108</v>
      </c>
      <c r="C114" s="546">
        <v>360</v>
      </c>
      <c r="D114" s="559" t="s">
        <v>37</v>
      </c>
      <c r="E114" s="546">
        <v>80</v>
      </c>
      <c r="F114" s="549">
        <f t="shared" si="34"/>
        <v>28800</v>
      </c>
      <c r="G114" s="546">
        <f t="shared" si="37"/>
        <v>12</v>
      </c>
      <c r="H114" s="549">
        <f t="shared" si="35"/>
        <v>4320</v>
      </c>
      <c r="I114" s="549">
        <f t="shared" si="36"/>
        <v>33120</v>
      </c>
      <c r="J114" s="561"/>
    </row>
    <row r="115" spans="1:32" ht="26.25" customHeight="1">
      <c r="A115" s="557" t="s">
        <v>1613</v>
      </c>
      <c r="B115" s="558" t="s">
        <v>339</v>
      </c>
      <c r="C115" s="546">
        <v>4</v>
      </c>
      <c r="D115" s="559" t="s">
        <v>37</v>
      </c>
      <c r="E115" s="546">
        <v>5500</v>
      </c>
      <c r="F115" s="549">
        <f t="shared" si="34"/>
        <v>22000</v>
      </c>
      <c r="G115" s="546">
        <f t="shared" si="37"/>
        <v>825</v>
      </c>
      <c r="H115" s="549">
        <f t="shared" si="35"/>
        <v>3300</v>
      </c>
      <c r="I115" s="549">
        <f t="shared" si="36"/>
        <v>25300</v>
      </c>
      <c r="J115" s="561"/>
    </row>
    <row r="116" spans="1:32" ht="26.25" customHeight="1">
      <c r="A116" s="557" t="s">
        <v>1614</v>
      </c>
      <c r="B116" s="558" t="s">
        <v>1433</v>
      </c>
      <c r="C116" s="546">
        <v>1</v>
      </c>
      <c r="D116" s="559" t="s">
        <v>37</v>
      </c>
      <c r="E116" s="548">
        <f>SUM(F111:F115)*35%</f>
        <v>77210</v>
      </c>
      <c r="F116" s="549">
        <f t="shared" si="34"/>
        <v>77210</v>
      </c>
      <c r="G116" s="546">
        <f>E116*15%</f>
        <v>11581.5</v>
      </c>
      <c r="H116" s="549">
        <f t="shared" si="35"/>
        <v>11581.5</v>
      </c>
      <c r="I116" s="549">
        <f t="shared" si="36"/>
        <v>88791.5</v>
      </c>
      <c r="J116" s="561"/>
      <c r="K116" s="1" t="s">
        <v>1107</v>
      </c>
    </row>
    <row r="117" spans="1:32" ht="26.25" customHeight="1">
      <c r="A117" s="557" t="s">
        <v>1615</v>
      </c>
      <c r="B117" s="558" t="s">
        <v>1109</v>
      </c>
      <c r="C117" s="546">
        <v>4</v>
      </c>
      <c r="D117" s="559" t="s">
        <v>37</v>
      </c>
      <c r="E117" s="546">
        <v>1766</v>
      </c>
      <c r="F117" s="549">
        <f t="shared" si="34"/>
        <v>7064</v>
      </c>
      <c r="G117" s="546">
        <v>0</v>
      </c>
      <c r="H117" s="549">
        <f t="shared" si="35"/>
        <v>0</v>
      </c>
      <c r="I117" s="549">
        <f t="shared" si="36"/>
        <v>7064</v>
      </c>
      <c r="J117" s="561"/>
      <c r="K117" s="1" t="s">
        <v>1090</v>
      </c>
      <c r="L117" s="1" t="s">
        <v>1091</v>
      </c>
    </row>
    <row r="118" spans="1:32" ht="26.25" customHeight="1">
      <c r="A118" s="557" t="s">
        <v>1616</v>
      </c>
      <c r="B118" s="711" t="s">
        <v>1080</v>
      </c>
      <c r="C118" s="546">
        <v>180</v>
      </c>
      <c r="D118" s="547" t="s">
        <v>8</v>
      </c>
      <c r="E118" s="548">
        <f>100/4</f>
        <v>25</v>
      </c>
      <c r="F118" s="548">
        <f>C118*E118</f>
        <v>4500</v>
      </c>
      <c r="G118" s="548">
        <v>25</v>
      </c>
      <c r="H118" s="548">
        <f>C118*G118</f>
        <v>4500</v>
      </c>
      <c r="I118" s="548">
        <f>F118+H118</f>
        <v>9000</v>
      </c>
      <c r="J118" s="561"/>
    </row>
    <row r="119" spans="1:32" ht="26.25" customHeight="1">
      <c r="A119" s="712"/>
      <c r="B119" s="713" t="s">
        <v>1311</v>
      </c>
      <c r="C119" s="714"/>
      <c r="D119" s="732"/>
      <c r="E119" s="733"/>
      <c r="F119" s="733"/>
      <c r="G119" s="733"/>
      <c r="H119" s="733"/>
      <c r="I119" s="717">
        <f>SUM(I111:I118)</f>
        <v>358545.5</v>
      </c>
      <c r="J119" s="718"/>
    </row>
    <row r="120" spans="1:32" ht="26.25" customHeight="1">
      <c r="A120" s="1314">
        <v>5.7</v>
      </c>
      <c r="B120" s="679" t="s">
        <v>1368</v>
      </c>
      <c r="C120" s="887"/>
      <c r="D120" s="529"/>
      <c r="E120" s="1022"/>
      <c r="F120" s="1022"/>
      <c r="G120" s="1022"/>
      <c r="H120" s="1022"/>
      <c r="I120" s="1315"/>
      <c r="J120" s="530"/>
    </row>
    <row r="121" spans="1:32" ht="26.25" customHeight="1">
      <c r="A121" s="747" t="s">
        <v>1424</v>
      </c>
      <c r="B121" s="748" t="s">
        <v>1408</v>
      </c>
      <c r="C121" s="624">
        <v>20</v>
      </c>
      <c r="D121" s="749" t="s">
        <v>639</v>
      </c>
      <c r="E121" s="1039">
        <v>3200</v>
      </c>
      <c r="F121" s="1039">
        <f>C121*E121</f>
        <v>64000</v>
      </c>
      <c r="G121" s="1039"/>
      <c r="H121" s="1039">
        <f>C121*G121</f>
        <v>0</v>
      </c>
      <c r="I121" s="1316">
        <f>F121+H121</f>
        <v>64000</v>
      </c>
      <c r="J121" s="750"/>
    </row>
    <row r="122" spans="1:32" ht="26.25" customHeight="1">
      <c r="A122" s="641"/>
      <c r="B122" s="551" t="s">
        <v>1367</v>
      </c>
      <c r="C122" s="636"/>
      <c r="D122" s="552"/>
      <c r="E122" s="926"/>
      <c r="F122" s="926"/>
      <c r="G122" s="926"/>
      <c r="H122" s="926"/>
      <c r="I122" s="928">
        <f>SUM(I121)</f>
        <v>64000</v>
      </c>
      <c r="J122" s="553"/>
    </row>
    <row r="123" spans="1:32" s="509" customFormat="1" ht="26.25" customHeight="1">
      <c r="A123" s="528">
        <v>5.8</v>
      </c>
      <c r="B123" s="679" t="s">
        <v>2183</v>
      </c>
      <c r="C123" s="887"/>
      <c r="D123" s="529"/>
      <c r="E123" s="1022"/>
      <c r="F123" s="1022"/>
      <c r="G123" s="1022"/>
      <c r="H123" s="1022"/>
      <c r="I123" s="1315"/>
      <c r="J123" s="530"/>
    </row>
    <row r="124" spans="1:32" s="509" customFormat="1" ht="26.25" customHeight="1">
      <c r="A124" s="747" t="s">
        <v>2184</v>
      </c>
      <c r="B124" s="537" t="s">
        <v>1451</v>
      </c>
      <c r="C124" s="538">
        <v>1</v>
      </c>
      <c r="D124" s="539" t="s">
        <v>37</v>
      </c>
      <c r="E124" s="540">
        <v>0</v>
      </c>
      <c r="F124" s="540">
        <f t="shared" ref="F124" si="38">C124*E124</f>
        <v>0</v>
      </c>
      <c r="G124" s="540">
        <v>5000</v>
      </c>
      <c r="H124" s="541">
        <f t="shared" ref="H124:H131" si="39">C124*G124</f>
        <v>5000</v>
      </c>
      <c r="I124" s="540">
        <f t="shared" ref="I124:I125" si="40">H124+F124</f>
        <v>5000</v>
      </c>
      <c r="J124" s="750"/>
    </row>
    <row r="125" spans="1:32" s="509" customFormat="1" ht="26.25" customHeight="1">
      <c r="A125" s="747" t="s">
        <v>2185</v>
      </c>
      <c r="B125" s="537" t="s">
        <v>1449</v>
      </c>
      <c r="C125" s="538">
        <v>12</v>
      </c>
      <c r="D125" s="539" t="s">
        <v>37</v>
      </c>
      <c r="E125" s="542">
        <v>0</v>
      </c>
      <c r="F125" s="542">
        <v>0</v>
      </c>
      <c r="G125" s="543">
        <v>100</v>
      </c>
      <c r="H125" s="544">
        <f t="shared" si="39"/>
        <v>1200</v>
      </c>
      <c r="I125" s="543">
        <f t="shared" si="40"/>
        <v>1200</v>
      </c>
      <c r="J125" s="750"/>
    </row>
    <row r="126" spans="1:32">
      <c r="A126" s="747" t="s">
        <v>2186</v>
      </c>
      <c r="B126" s="1317" t="s">
        <v>1447</v>
      </c>
      <c r="C126" s="1318">
        <f>83</f>
        <v>83</v>
      </c>
      <c r="D126" s="1319" t="s">
        <v>1420</v>
      </c>
      <c r="E126" s="1318">
        <v>2500</v>
      </c>
      <c r="F126" s="1320">
        <f t="shared" ref="F126:F131" si="41">C126*E126</f>
        <v>207500</v>
      </c>
      <c r="G126" s="1318">
        <v>1000</v>
      </c>
      <c r="H126" s="1320">
        <f t="shared" si="39"/>
        <v>83000</v>
      </c>
      <c r="I126" s="1320">
        <f t="shared" ref="I126:I131" si="42">F126+H126</f>
        <v>290500</v>
      </c>
      <c r="J126" s="545"/>
      <c r="O126" s="433"/>
      <c r="P126" s="433"/>
      <c r="Q126" s="433"/>
      <c r="R126" s="433"/>
      <c r="S126" s="433"/>
      <c r="AF126" s="465"/>
    </row>
    <row r="127" spans="1:32">
      <c r="A127" s="747" t="s">
        <v>2187</v>
      </c>
      <c r="B127" s="1317" t="s">
        <v>1422</v>
      </c>
      <c r="C127" s="1318">
        <v>12</v>
      </c>
      <c r="D127" s="1319" t="s">
        <v>1420</v>
      </c>
      <c r="E127" s="1318">
        <v>2500</v>
      </c>
      <c r="F127" s="1320">
        <f t="shared" si="41"/>
        <v>30000</v>
      </c>
      <c r="G127" s="1318">
        <v>1000</v>
      </c>
      <c r="H127" s="1320">
        <f t="shared" si="39"/>
        <v>12000</v>
      </c>
      <c r="I127" s="1320">
        <f t="shared" si="42"/>
        <v>42000</v>
      </c>
      <c r="J127" s="545" t="s">
        <v>1450</v>
      </c>
      <c r="O127" s="433"/>
      <c r="P127" s="433"/>
      <c r="Q127" s="433"/>
      <c r="R127" s="433"/>
      <c r="S127" s="433"/>
      <c r="AF127" s="465"/>
    </row>
    <row r="128" spans="1:32">
      <c r="A128" s="747" t="s">
        <v>2188</v>
      </c>
      <c r="B128" s="1317" t="s">
        <v>1423</v>
      </c>
      <c r="C128" s="1318">
        <v>350</v>
      </c>
      <c r="D128" s="1319" t="s">
        <v>394</v>
      </c>
      <c r="E128" s="1318">
        <v>150</v>
      </c>
      <c r="F128" s="1320">
        <f t="shared" si="41"/>
        <v>52500</v>
      </c>
      <c r="G128" s="1318">
        <v>60</v>
      </c>
      <c r="H128" s="1320">
        <f t="shared" si="39"/>
        <v>21000</v>
      </c>
      <c r="I128" s="1320">
        <f t="shared" si="42"/>
        <v>73500</v>
      </c>
      <c r="J128" s="545"/>
      <c r="O128" s="433"/>
      <c r="P128" s="433"/>
      <c r="Q128" s="433"/>
      <c r="R128" s="433"/>
      <c r="S128" s="433"/>
      <c r="AF128" s="465"/>
    </row>
    <row r="129" spans="1:33">
      <c r="A129" s="747" t="s">
        <v>2189</v>
      </c>
      <c r="B129" s="1317" t="s">
        <v>1448</v>
      </c>
      <c r="C129" s="1318">
        <v>15</v>
      </c>
      <c r="D129" s="1319" t="s">
        <v>1420</v>
      </c>
      <c r="E129" s="1318">
        <v>2500</v>
      </c>
      <c r="F129" s="1320">
        <f t="shared" si="41"/>
        <v>37500</v>
      </c>
      <c r="G129" s="1318">
        <v>1000</v>
      </c>
      <c r="H129" s="1320">
        <f t="shared" si="39"/>
        <v>15000</v>
      </c>
      <c r="I129" s="1320">
        <f t="shared" si="42"/>
        <v>52500</v>
      </c>
      <c r="J129" s="545"/>
      <c r="O129" s="433"/>
      <c r="P129" s="433"/>
      <c r="Q129" s="433"/>
      <c r="R129" s="433"/>
      <c r="S129" s="433"/>
      <c r="AF129" s="465"/>
    </row>
    <row r="130" spans="1:33">
      <c r="A130" s="747" t="s">
        <v>2190</v>
      </c>
      <c r="B130" s="1317" t="s">
        <v>1421</v>
      </c>
      <c r="C130" s="1318">
        <v>3000</v>
      </c>
      <c r="D130" s="1319" t="s">
        <v>394</v>
      </c>
      <c r="E130" s="1318">
        <v>14.3</v>
      </c>
      <c r="F130" s="1320">
        <f t="shared" si="41"/>
        <v>42900</v>
      </c>
      <c r="G130" s="1318">
        <v>10</v>
      </c>
      <c r="H130" s="1320">
        <f t="shared" si="39"/>
        <v>30000</v>
      </c>
      <c r="I130" s="1320">
        <f t="shared" si="42"/>
        <v>72900</v>
      </c>
      <c r="J130" s="545"/>
      <c r="O130" s="433"/>
      <c r="P130" s="433"/>
      <c r="Q130" s="433"/>
      <c r="R130" s="433"/>
      <c r="S130" s="433"/>
      <c r="AF130" s="465"/>
    </row>
    <row r="131" spans="1:33" ht="48">
      <c r="A131" s="747" t="s">
        <v>2191</v>
      </c>
      <c r="B131" s="558" t="s">
        <v>2472</v>
      </c>
      <c r="C131" s="546">
        <v>1</v>
      </c>
      <c r="D131" s="547" t="s">
        <v>40</v>
      </c>
      <c r="E131" s="548">
        <v>12000</v>
      </c>
      <c r="F131" s="548">
        <f t="shared" si="41"/>
        <v>12000</v>
      </c>
      <c r="G131" s="548">
        <v>0</v>
      </c>
      <c r="H131" s="548">
        <f t="shared" si="39"/>
        <v>0</v>
      </c>
      <c r="I131" s="549">
        <f t="shared" si="42"/>
        <v>12000</v>
      </c>
      <c r="J131" s="550"/>
      <c r="O131" s="433"/>
      <c r="P131" s="433"/>
      <c r="Q131" s="433"/>
      <c r="R131" s="433"/>
      <c r="S131" s="433"/>
      <c r="AF131" s="1321" t="s">
        <v>1452</v>
      </c>
    </row>
    <row r="132" spans="1:33">
      <c r="A132" s="1322"/>
      <c r="B132" s="551" t="s">
        <v>1416</v>
      </c>
      <c r="C132" s="636"/>
      <c r="D132" s="552"/>
      <c r="E132" s="926"/>
      <c r="F132" s="926"/>
      <c r="G132" s="926"/>
      <c r="H132" s="926"/>
      <c r="I132" s="928">
        <f>SUM(I124:I131)</f>
        <v>549600</v>
      </c>
      <c r="J132" s="553"/>
      <c r="O132" s="433"/>
      <c r="P132" s="433"/>
      <c r="Q132" s="433"/>
      <c r="R132" s="433"/>
      <c r="S132" s="433"/>
      <c r="AF132" s="465">
        <v>876000</v>
      </c>
      <c r="AG132" s="1323">
        <f>AF132-I132</f>
        <v>326400</v>
      </c>
    </row>
    <row r="133" spans="1:33" s="509" customFormat="1">
      <c r="A133" s="1324">
        <v>5.9</v>
      </c>
      <c r="B133" s="554" t="s">
        <v>370</v>
      </c>
      <c r="C133" s="1276"/>
      <c r="D133" s="555"/>
      <c r="E133" s="1325"/>
      <c r="F133" s="1325"/>
      <c r="G133" s="1325"/>
      <c r="H133" s="1325"/>
      <c r="I133" s="1326"/>
      <c r="J133" s="556"/>
      <c r="O133" s="510"/>
      <c r="P133" s="510"/>
      <c r="Q133" s="510"/>
      <c r="R133" s="510"/>
      <c r="S133" s="510"/>
      <c r="AF133" s="511"/>
    </row>
    <row r="134" spans="1:33" s="509" customFormat="1">
      <c r="A134" s="557" t="s">
        <v>2192</v>
      </c>
      <c r="B134" s="558" t="s">
        <v>1476</v>
      </c>
      <c r="C134" s="546">
        <v>1</v>
      </c>
      <c r="D134" s="559" t="s">
        <v>37</v>
      </c>
      <c r="E134" s="546">
        <v>25000</v>
      </c>
      <c r="F134" s="549">
        <f t="shared" ref="F134:F135" si="43">C134*E134</f>
        <v>25000</v>
      </c>
      <c r="G134" s="546">
        <v>0</v>
      </c>
      <c r="H134" s="549">
        <f t="shared" ref="H134:H135" si="44">C134*G134</f>
        <v>0</v>
      </c>
      <c r="I134" s="549">
        <f t="shared" ref="I134:I135" si="45">F134+H134</f>
        <v>25000</v>
      </c>
      <c r="J134" s="550"/>
      <c r="O134" s="510"/>
      <c r="P134" s="510"/>
      <c r="Q134" s="510"/>
      <c r="R134" s="510"/>
      <c r="S134" s="510"/>
      <c r="AF134" s="511"/>
    </row>
    <row r="135" spans="1:33" s="509" customFormat="1">
      <c r="A135" s="557" t="s">
        <v>2193</v>
      </c>
      <c r="B135" s="558" t="s">
        <v>1477</v>
      </c>
      <c r="C135" s="546">
        <v>940</v>
      </c>
      <c r="D135" s="559" t="s">
        <v>8</v>
      </c>
      <c r="E135" s="546">
        <f>4362/305</f>
        <v>14.301639344262295</v>
      </c>
      <c r="F135" s="549">
        <f t="shared" si="43"/>
        <v>13443.540983606557</v>
      </c>
      <c r="G135" s="546">
        <v>10</v>
      </c>
      <c r="H135" s="549">
        <f t="shared" si="44"/>
        <v>9400</v>
      </c>
      <c r="I135" s="549">
        <f t="shared" si="45"/>
        <v>22843.540983606559</v>
      </c>
      <c r="J135" s="550"/>
      <c r="O135" s="510"/>
      <c r="P135" s="510"/>
      <c r="Q135" s="510"/>
      <c r="R135" s="510"/>
      <c r="S135" s="510"/>
      <c r="AF135" s="511"/>
    </row>
    <row r="136" spans="1:33" s="509" customFormat="1">
      <c r="A136" s="557" t="s">
        <v>2194</v>
      </c>
      <c r="B136" s="558" t="s">
        <v>1478</v>
      </c>
      <c r="C136" s="546">
        <v>135</v>
      </c>
      <c r="D136" s="559" t="s">
        <v>8</v>
      </c>
      <c r="E136" s="548">
        <f>93.1/3</f>
        <v>31.033333333333331</v>
      </c>
      <c r="F136" s="548">
        <f>C136*E136</f>
        <v>4189.5</v>
      </c>
      <c r="G136" s="548">
        <v>22</v>
      </c>
      <c r="H136" s="548">
        <f>C136*G136</f>
        <v>2970</v>
      </c>
      <c r="I136" s="548">
        <f>F136+H136</f>
        <v>7159.5</v>
      </c>
      <c r="J136" s="550"/>
      <c r="O136" s="510"/>
      <c r="P136" s="510"/>
      <c r="Q136" s="510"/>
      <c r="R136" s="510"/>
      <c r="S136" s="510"/>
      <c r="AF136" s="511"/>
    </row>
    <row r="137" spans="1:33" s="509" customFormat="1">
      <c r="A137" s="557" t="s">
        <v>2195</v>
      </c>
      <c r="B137" s="558" t="s">
        <v>1479</v>
      </c>
      <c r="C137" s="546">
        <v>1</v>
      </c>
      <c r="D137" s="547" t="s">
        <v>40</v>
      </c>
      <c r="E137" s="548">
        <v>7000</v>
      </c>
      <c r="F137" s="548">
        <f t="shared" ref="F137" si="46">C137*E137</f>
        <v>7000</v>
      </c>
      <c r="G137" s="548">
        <v>0</v>
      </c>
      <c r="H137" s="548">
        <f t="shared" ref="H137" si="47">C137*G137</f>
        <v>0</v>
      </c>
      <c r="I137" s="549">
        <f t="shared" ref="I137" si="48">F137+H137</f>
        <v>7000</v>
      </c>
      <c r="J137" s="550"/>
      <c r="O137" s="510"/>
      <c r="P137" s="510"/>
      <c r="Q137" s="510"/>
      <c r="R137" s="510"/>
      <c r="S137" s="510"/>
      <c r="AF137" s="511"/>
    </row>
    <row r="138" spans="1:33" s="509" customFormat="1">
      <c r="A138" s="1322"/>
      <c r="B138" s="551" t="s">
        <v>1415</v>
      </c>
      <c r="C138" s="636"/>
      <c r="D138" s="552"/>
      <c r="E138" s="926"/>
      <c r="F138" s="926"/>
      <c r="G138" s="926"/>
      <c r="H138" s="926"/>
      <c r="I138" s="928">
        <f>SUM(I134:I137)</f>
        <v>62003.040983606559</v>
      </c>
      <c r="J138" s="553"/>
      <c r="O138" s="510"/>
      <c r="P138" s="510"/>
      <c r="Q138" s="510"/>
      <c r="R138" s="510"/>
      <c r="S138" s="510"/>
      <c r="AF138" s="511"/>
    </row>
    <row r="139" spans="1:33" ht="26.25" customHeight="1">
      <c r="A139" s="1298"/>
      <c r="B139" s="501" t="s">
        <v>1190</v>
      </c>
      <c r="C139" s="1299"/>
      <c r="D139" s="1298"/>
      <c r="E139" s="1300"/>
      <c r="F139" s="1300"/>
      <c r="G139" s="1300"/>
      <c r="H139" s="1300"/>
      <c r="I139" s="1300">
        <f>I43+I51+I61+I94+I109+I119+I122+I132+I138</f>
        <v>3717266.5317136068</v>
      </c>
      <c r="J139" s="501"/>
    </row>
  </sheetData>
  <mergeCells count="25">
    <mergeCell ref="J53:J54"/>
    <mergeCell ref="I12:I13"/>
    <mergeCell ref="J12:J13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printOptions horizontalCentered="1"/>
  <pageMargins left="0.31496062992125984" right="0.16" top="0.32" bottom="0.24" header="0.26" footer="0.19"/>
  <pageSetup paperSize="9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127"/>
  <sheetViews>
    <sheetView topLeftCell="A9" zoomScale="70" zoomScaleNormal="70" zoomScaleSheetLayoutView="80" workbookViewId="0">
      <selection activeCell="C23" sqref="C23"/>
    </sheetView>
  </sheetViews>
  <sheetFormatPr defaultColWidth="8.7109375" defaultRowHeight="24"/>
  <cols>
    <col min="1" max="1" width="12.5703125" style="39" customWidth="1"/>
    <col min="2" max="2" width="81.28515625" style="7" customWidth="1"/>
    <col min="3" max="3" width="9.42578125" style="40" customWidth="1"/>
    <col min="4" max="4" width="9.7109375" style="9" customWidth="1"/>
    <col min="5" max="5" width="17.28515625" style="41" customWidth="1"/>
    <col min="6" max="6" width="17.28515625" style="42" customWidth="1"/>
    <col min="7" max="7" width="15.28515625" style="42" customWidth="1"/>
    <col min="8" max="8" width="18.28515625" style="42" customWidth="1"/>
    <col min="9" max="9" width="19.42578125" style="42" customWidth="1"/>
    <col min="10" max="10" width="16.5703125" style="7" customWidth="1"/>
    <col min="11" max="12" width="19.42578125" style="1" hidden="1" customWidth="1"/>
    <col min="13" max="13" width="11" style="1" hidden="1" customWidth="1"/>
    <col min="14" max="14" width="19" style="1" hidden="1" customWidth="1"/>
    <col min="15" max="15" width="10.28515625" style="1" hidden="1" customWidth="1"/>
    <col min="16" max="16" width="22.42578125" style="1" hidden="1" customWidth="1"/>
    <col min="17" max="17" width="8.7109375" style="1" hidden="1" customWidth="1"/>
    <col min="18" max="18" width="13.28515625" style="1" hidden="1" customWidth="1"/>
    <col min="19" max="26" width="8.7109375" style="1" hidden="1" customWidth="1"/>
    <col min="27" max="27" width="21.7109375" style="1" hidden="1" customWidth="1"/>
    <col min="28" max="28" width="22.7109375" style="1" hidden="1" customWidth="1"/>
    <col min="29" max="30" width="8.7109375" style="1" hidden="1" customWidth="1"/>
    <col min="31" max="36" width="8.7109375" style="1" customWidth="1"/>
    <col min="37" max="37" width="8.7109375" style="1"/>
    <col min="38" max="38" width="11.5703125" style="1" bestFit="1" customWidth="1"/>
    <col min="39" max="39" width="8.7109375" style="1"/>
    <col min="40" max="40" width="11.5703125" style="1" bestFit="1" customWidth="1"/>
    <col min="41" max="16384" width="8.7109375" style="1"/>
  </cols>
  <sheetData>
    <row r="1" spans="1:28" s="4" customFormat="1" ht="36" hidden="1" customHeight="1">
      <c r="A1" s="1410" t="s">
        <v>124</v>
      </c>
      <c r="B1" s="1410"/>
      <c r="C1" s="1410"/>
      <c r="D1" s="1410"/>
      <c r="E1" s="1410"/>
      <c r="F1" s="1410"/>
      <c r="G1" s="1410"/>
      <c r="H1" s="1410"/>
      <c r="I1" s="1410"/>
      <c r="J1" s="31" t="s">
        <v>125</v>
      </c>
      <c r="K1" s="3"/>
      <c r="O1" s="1242">
        <v>24077</v>
      </c>
      <c r="P1" s="9" t="s">
        <v>1034</v>
      </c>
      <c r="Q1" s="9" t="s">
        <v>1035</v>
      </c>
      <c r="R1" s="7"/>
      <c r="S1" s="7"/>
      <c r="AA1" s="1243" t="s">
        <v>1036</v>
      </c>
      <c r="AB1" s="1243" t="s">
        <v>564</v>
      </c>
    </row>
    <row r="2" spans="1:28" s="4" customFormat="1" ht="36" hidden="1" customHeight="1">
      <c r="A2" s="1411" t="s">
        <v>599</v>
      </c>
      <c r="B2" s="1411"/>
      <c r="C2" s="1411"/>
      <c r="D2" s="1411"/>
      <c r="E2" s="1411"/>
      <c r="F2" s="1411"/>
      <c r="G2" s="1411"/>
      <c r="H2" s="1411"/>
      <c r="I2" s="1411"/>
      <c r="J2" s="1142"/>
      <c r="K2" s="3"/>
      <c r="O2" s="8" t="s">
        <v>570</v>
      </c>
      <c r="P2" s="41">
        <v>400</v>
      </c>
      <c r="Q2" s="41">
        <v>0</v>
      </c>
      <c r="R2" s="7"/>
      <c r="S2" s="7"/>
      <c r="AA2" s="1244">
        <f>IF($B2=AA$1,$C2,0)</f>
        <v>0</v>
      </c>
      <c r="AB2" s="1244">
        <f>IF($B2=AB$1,$C2,0)</f>
        <v>0</v>
      </c>
    </row>
    <row r="3" spans="1:28" s="4" customFormat="1" ht="29.25" hidden="1" customHeight="1">
      <c r="A3" s="1412" t="s">
        <v>129</v>
      </c>
      <c r="B3" s="1412"/>
      <c r="C3" s="1412"/>
      <c r="D3" s="1412"/>
      <c r="E3" s="32"/>
      <c r="F3" s="32"/>
      <c r="G3" s="33"/>
      <c r="H3" s="33"/>
      <c r="I3" s="33"/>
      <c r="J3" s="34"/>
      <c r="K3" s="3"/>
      <c r="O3" s="8" t="s">
        <v>1036</v>
      </c>
      <c r="P3" s="41">
        <v>0</v>
      </c>
      <c r="Q3" s="457">
        <f>IF(R3&lt;5000,133,115)</f>
        <v>133</v>
      </c>
      <c r="R3" s="1245">
        <f>SUM(AA2:AA13)</f>
        <v>0</v>
      </c>
      <c r="S3" s="7" t="s">
        <v>6</v>
      </c>
      <c r="AA3" s="1244">
        <f t="shared" ref="AA3:AB13" si="0">IF($B3=AA$1,$C3,0)</f>
        <v>0</v>
      </c>
      <c r="AB3" s="1244">
        <f t="shared" si="0"/>
        <v>0</v>
      </c>
    </row>
    <row r="4" spans="1:28" s="4" customFormat="1" ht="29.25" hidden="1" customHeight="1">
      <c r="A4" s="1413" t="s">
        <v>130</v>
      </c>
      <c r="B4" s="1413"/>
      <c r="C4" s="1413"/>
      <c r="D4" s="1413"/>
      <c r="E4" s="1413"/>
      <c r="F4" s="35"/>
      <c r="G4" s="33"/>
      <c r="H4" s="33" t="s">
        <v>4</v>
      </c>
      <c r="I4" s="1414" t="str">
        <f>ปร.6!C9</f>
        <v>คำสั่งที่ 627/2565 ลงวันที่ 3 พฤศจิกายน 2565</v>
      </c>
      <c r="J4" s="1414"/>
      <c r="K4" s="3"/>
      <c r="O4" s="8" t="s">
        <v>571</v>
      </c>
      <c r="P4" s="41">
        <v>400</v>
      </c>
      <c r="Q4" s="41">
        <v>0</v>
      </c>
      <c r="R4" s="7"/>
      <c r="S4" s="7"/>
      <c r="AA4" s="1244">
        <f t="shared" si="0"/>
        <v>0</v>
      </c>
      <c r="AB4" s="1244">
        <f t="shared" si="0"/>
        <v>0</v>
      </c>
    </row>
    <row r="5" spans="1:28" s="2" customFormat="1" ht="29.25" hidden="1" customHeight="1">
      <c r="A5" s="1408" t="s">
        <v>105</v>
      </c>
      <c r="B5" s="1408"/>
      <c r="C5" s="1408"/>
      <c r="D5" s="1408"/>
      <c r="E5" s="1408"/>
      <c r="F5" s="1408"/>
      <c r="G5" s="1408"/>
      <c r="H5" s="1409"/>
      <c r="I5" s="1409"/>
      <c r="J5" s="1409"/>
      <c r="K5" s="5"/>
      <c r="O5" s="8" t="s">
        <v>572</v>
      </c>
      <c r="P5" s="1245">
        <v>56.78</v>
      </c>
      <c r="Q5" s="41">
        <v>0</v>
      </c>
      <c r="R5" s="7"/>
      <c r="S5" s="7"/>
      <c r="T5" s="2" t="s">
        <v>1038</v>
      </c>
      <c r="AA5" s="1244">
        <f t="shared" si="0"/>
        <v>0</v>
      </c>
      <c r="AB5" s="1244">
        <f t="shared" si="0"/>
        <v>0</v>
      </c>
    </row>
    <row r="6" spans="1:28" s="514" customFormat="1" ht="36" customHeight="1">
      <c r="A6" s="1403" t="s">
        <v>124</v>
      </c>
      <c r="B6" s="1403"/>
      <c r="C6" s="1403"/>
      <c r="D6" s="1403"/>
      <c r="E6" s="1403"/>
      <c r="F6" s="1403"/>
      <c r="G6" s="1403"/>
      <c r="H6" s="1403"/>
      <c r="I6" s="1403"/>
      <c r="J6" s="512" t="s">
        <v>125</v>
      </c>
      <c r="K6" s="513"/>
      <c r="O6" s="1246">
        <v>23955</v>
      </c>
      <c r="P6" s="1218" t="s">
        <v>1034</v>
      </c>
      <c r="Q6" s="1218" t="s">
        <v>1035</v>
      </c>
      <c r="R6" s="1149"/>
      <c r="S6" s="1149"/>
      <c r="AA6" s="1247" t="s">
        <v>1036</v>
      </c>
      <c r="AB6" s="1247" t="s">
        <v>564</v>
      </c>
    </row>
    <row r="7" spans="1:28" s="514" customFormat="1" ht="36" customHeight="1">
      <c r="A7" s="1404" t="s">
        <v>599</v>
      </c>
      <c r="B7" s="1404"/>
      <c r="C7" s="1404"/>
      <c r="D7" s="1404"/>
      <c r="E7" s="1404"/>
      <c r="F7" s="1404"/>
      <c r="G7" s="1404"/>
      <c r="H7" s="1404"/>
      <c r="I7" s="1404"/>
      <c r="J7" s="1143"/>
      <c r="K7" s="513"/>
      <c r="O7" s="1193" t="s">
        <v>570</v>
      </c>
      <c r="P7" s="1194">
        <v>400</v>
      </c>
      <c r="Q7" s="1194">
        <v>0</v>
      </c>
      <c r="R7" s="1149"/>
      <c r="S7" s="1149"/>
      <c r="AA7" s="1248">
        <f>IF($B7=AA$1,$C7,0)</f>
        <v>0</v>
      </c>
      <c r="AB7" s="1248">
        <f>IF($B7=AB$1,$C7,0)</f>
        <v>0</v>
      </c>
    </row>
    <row r="8" spans="1:28" s="514" customFormat="1" ht="29.25" customHeight="1">
      <c r="A8" s="1405" t="s">
        <v>129</v>
      </c>
      <c r="B8" s="1405"/>
      <c r="C8" s="1405"/>
      <c r="D8" s="1405"/>
      <c r="E8" s="516"/>
      <c r="F8" s="516"/>
      <c r="G8" s="517"/>
      <c r="H8" s="517"/>
      <c r="I8" s="517"/>
      <c r="J8" s="518"/>
      <c r="K8" s="513"/>
      <c r="O8" s="1193" t="s">
        <v>1036</v>
      </c>
      <c r="P8" s="1194">
        <v>0</v>
      </c>
      <c r="Q8" s="519">
        <f>IF(R8&lt;5000,133,115)</f>
        <v>133</v>
      </c>
      <c r="R8" s="1249">
        <f>SUM(AA7:AA796)</f>
        <v>0</v>
      </c>
      <c r="S8" s="1149" t="s">
        <v>6</v>
      </c>
      <c r="AA8" s="1248">
        <f t="shared" ref="AA8:AB10" si="1">IF($B8=AA$1,$C8,0)</f>
        <v>0</v>
      </c>
      <c r="AB8" s="1248">
        <f t="shared" si="1"/>
        <v>0</v>
      </c>
    </row>
    <row r="9" spans="1:28" s="514" customFormat="1" ht="29.25" customHeight="1">
      <c r="A9" s="1406" t="s">
        <v>130</v>
      </c>
      <c r="B9" s="1406"/>
      <c r="C9" s="1406"/>
      <c r="D9" s="1406"/>
      <c r="E9" s="1406"/>
      <c r="F9" s="520"/>
      <c r="G9" s="517"/>
      <c r="H9" s="517" t="s">
        <v>4</v>
      </c>
      <c r="I9" s="1407" t="s">
        <v>1508</v>
      </c>
      <c r="J9" s="1407"/>
      <c r="K9" s="513"/>
      <c r="O9" s="1193" t="s">
        <v>571</v>
      </c>
      <c r="P9" s="1194">
        <v>400</v>
      </c>
      <c r="Q9" s="1194">
        <v>0</v>
      </c>
      <c r="R9" s="1149"/>
      <c r="S9" s="1149"/>
      <c r="AA9" s="1248">
        <f t="shared" si="1"/>
        <v>0</v>
      </c>
      <c r="AB9" s="1248">
        <f t="shared" si="1"/>
        <v>0</v>
      </c>
    </row>
    <row r="10" spans="1:28" s="522" customFormat="1" ht="29.25" customHeight="1">
      <c r="A10" s="1399" t="s">
        <v>1418</v>
      </c>
      <c r="B10" s="1399"/>
      <c r="C10" s="1399"/>
      <c r="D10" s="1399"/>
      <c r="E10" s="1399"/>
      <c r="F10" s="1399"/>
      <c r="G10" s="1399"/>
      <c r="H10" s="1400"/>
      <c r="I10" s="1400"/>
      <c r="J10" s="1400"/>
      <c r="K10" s="521"/>
      <c r="O10" s="1193" t="s">
        <v>572</v>
      </c>
      <c r="P10" s="1249">
        <v>56.78</v>
      </c>
      <c r="Q10" s="1194">
        <v>0</v>
      </c>
      <c r="R10" s="1149"/>
      <c r="S10" s="1149"/>
      <c r="T10" s="522" t="s">
        <v>1038</v>
      </c>
      <c r="AA10" s="1248">
        <f t="shared" si="1"/>
        <v>0</v>
      </c>
      <c r="AB10" s="1248">
        <f t="shared" si="1"/>
        <v>0</v>
      </c>
    </row>
    <row r="11" spans="1:28" s="522" customFormat="1" ht="29.25" customHeight="1">
      <c r="A11" s="1401" t="s">
        <v>1419</v>
      </c>
      <c r="B11" s="1401"/>
      <c r="C11" s="1401"/>
      <c r="D11" s="1401"/>
      <c r="E11" s="1401"/>
      <c r="F11" s="1401"/>
      <c r="G11" s="1401"/>
      <c r="H11" s="1402"/>
      <c r="I11" s="1402"/>
      <c r="J11" s="1402"/>
      <c r="K11" s="521"/>
      <c r="O11" s="1193"/>
      <c r="P11" s="1249"/>
      <c r="Q11" s="1194"/>
      <c r="R11" s="1149"/>
      <c r="S11" s="1149"/>
      <c r="AA11" s="1248"/>
      <c r="AB11" s="1248"/>
    </row>
    <row r="12" spans="1:28" s="2" customFormat="1" ht="24" customHeight="1">
      <c r="A12" s="1417" t="s">
        <v>11</v>
      </c>
      <c r="B12" s="1417" t="s">
        <v>1</v>
      </c>
      <c r="C12" s="1419" t="s">
        <v>13</v>
      </c>
      <c r="D12" s="1419" t="s">
        <v>12</v>
      </c>
      <c r="E12" s="1419" t="s">
        <v>14</v>
      </c>
      <c r="F12" s="1419"/>
      <c r="G12" s="1419" t="s">
        <v>15</v>
      </c>
      <c r="H12" s="1419"/>
      <c r="I12" s="1422" t="s">
        <v>17</v>
      </c>
      <c r="J12" s="1417" t="s">
        <v>5</v>
      </c>
      <c r="O12" s="8" t="s">
        <v>573</v>
      </c>
      <c r="P12" s="1245">
        <v>31.92</v>
      </c>
      <c r="Q12" s="41">
        <v>0</v>
      </c>
      <c r="R12" s="7"/>
      <c r="T12" s="2" t="s">
        <v>1039</v>
      </c>
      <c r="AA12" s="1244">
        <f t="shared" si="0"/>
        <v>0</v>
      </c>
      <c r="AB12" s="1244">
        <f t="shared" si="0"/>
        <v>0</v>
      </c>
    </row>
    <row r="13" spans="1:28" s="2" customFormat="1">
      <c r="A13" s="1417"/>
      <c r="B13" s="1417"/>
      <c r="C13" s="1419"/>
      <c r="D13" s="1419"/>
      <c r="E13" s="1140" t="s">
        <v>35</v>
      </c>
      <c r="F13" s="1140" t="s">
        <v>16</v>
      </c>
      <c r="G13" s="1140" t="s">
        <v>35</v>
      </c>
      <c r="H13" s="1140" t="s">
        <v>16</v>
      </c>
      <c r="I13" s="1423"/>
      <c r="J13" s="1417"/>
      <c r="O13" s="8" t="s">
        <v>564</v>
      </c>
      <c r="P13" s="41">
        <v>0</v>
      </c>
      <c r="Q13" s="41">
        <f>IF(R13&lt;25,148,IF(25&lt;=R13&lt;=100,125,99))</f>
        <v>148</v>
      </c>
      <c r="R13" s="1245">
        <f>SUM(AB2:AB13)</f>
        <v>0</v>
      </c>
      <c r="S13" s="1250" t="s">
        <v>545</v>
      </c>
      <c r="AA13" s="1244">
        <f t="shared" si="0"/>
        <v>0</v>
      </c>
      <c r="AB13" s="1244">
        <f t="shared" si="0"/>
        <v>0</v>
      </c>
    </row>
    <row r="14" spans="1:28" ht="26.25" customHeight="1">
      <c r="A14" s="525">
        <v>6</v>
      </c>
      <c r="B14" s="525" t="s">
        <v>78</v>
      </c>
      <c r="C14" s="646"/>
      <c r="D14" s="526"/>
      <c r="E14" s="1327"/>
      <c r="F14" s="1327"/>
      <c r="G14" s="1327"/>
      <c r="H14" s="1327"/>
      <c r="I14" s="1327"/>
      <c r="J14" s="527"/>
    </row>
    <row r="15" spans="1:28" ht="26.25" customHeight="1">
      <c r="A15" s="563">
        <v>6.1</v>
      </c>
      <c r="B15" s="564" t="s">
        <v>102</v>
      </c>
      <c r="C15" s="565"/>
      <c r="D15" s="565"/>
      <c r="E15" s="566"/>
      <c r="F15" s="566"/>
      <c r="G15" s="566"/>
      <c r="H15" s="566"/>
      <c r="I15" s="566"/>
      <c r="J15" s="567"/>
    </row>
    <row r="16" spans="1:28" s="434" customFormat="1">
      <c r="A16" s="568" t="s">
        <v>770</v>
      </c>
      <c r="B16" s="569" t="s">
        <v>769</v>
      </c>
      <c r="C16" s="570"/>
      <c r="D16" s="571"/>
      <c r="E16" s="572"/>
      <c r="F16" s="572"/>
      <c r="G16" s="572"/>
      <c r="H16" s="572"/>
      <c r="I16" s="572"/>
      <c r="J16" s="573"/>
      <c r="K16" s="433"/>
      <c r="L16" s="433"/>
      <c r="M16" s="433"/>
      <c r="O16" s="1"/>
      <c r="P16" s="1"/>
      <c r="Q16" s="1"/>
      <c r="R16" s="1"/>
      <c r="S16" s="1"/>
      <c r="T16" s="433"/>
    </row>
    <row r="17" spans="1:20" s="434" customFormat="1">
      <c r="A17" s="574" t="s">
        <v>831</v>
      </c>
      <c r="B17" s="575" t="s">
        <v>773</v>
      </c>
      <c r="C17" s="576"/>
      <c r="D17" s="577"/>
      <c r="E17" s="578"/>
      <c r="F17" s="579"/>
      <c r="G17" s="578"/>
      <c r="H17" s="579"/>
      <c r="I17" s="580"/>
      <c r="J17" s="581"/>
      <c r="K17" s="433"/>
      <c r="L17" s="435"/>
      <c r="M17" s="433"/>
      <c r="P17" s="433"/>
      <c r="Q17" s="433"/>
      <c r="R17" s="433"/>
      <c r="S17" s="433"/>
      <c r="T17" s="433"/>
    </row>
    <row r="18" spans="1:20" s="434" customFormat="1">
      <c r="A18" s="582" t="s">
        <v>1480</v>
      </c>
      <c r="B18" s="583" t="s">
        <v>774</v>
      </c>
      <c r="C18" s="584">
        <v>1</v>
      </c>
      <c r="D18" s="585" t="s">
        <v>40</v>
      </c>
      <c r="E18" s="586">
        <v>150611.25</v>
      </c>
      <c r="F18" s="587">
        <f t="shared" ref="F18:F20" si="2">ROUND(C18*E18,0)</f>
        <v>150611</v>
      </c>
      <c r="G18" s="586">
        <f>ROUND((F18*30%),2)</f>
        <v>45183.3</v>
      </c>
      <c r="H18" s="587">
        <f t="shared" ref="H18:H20" si="3">ROUND(C18*G18,0)</f>
        <v>45183</v>
      </c>
      <c r="I18" s="588">
        <f t="shared" ref="I18:I20" si="4">H18+F18</f>
        <v>195794</v>
      </c>
      <c r="J18" s="589"/>
      <c r="K18" s="433"/>
      <c r="L18" s="435"/>
      <c r="M18" s="433"/>
      <c r="P18" s="433"/>
      <c r="Q18" s="433"/>
      <c r="R18" s="433"/>
      <c r="S18" s="433"/>
      <c r="T18" s="433"/>
    </row>
    <row r="19" spans="1:20" s="434" customFormat="1">
      <c r="A19" s="582" t="s">
        <v>1481</v>
      </c>
      <c r="B19" s="583" t="s">
        <v>775</v>
      </c>
      <c r="C19" s="584">
        <v>1</v>
      </c>
      <c r="D19" s="585" t="s">
        <v>40</v>
      </c>
      <c r="E19" s="586">
        <v>90366.75</v>
      </c>
      <c r="F19" s="587">
        <f t="shared" si="2"/>
        <v>90367</v>
      </c>
      <c r="G19" s="586">
        <f>ROUND((F19*30%),2)</f>
        <v>27110.1</v>
      </c>
      <c r="H19" s="587">
        <f t="shared" si="3"/>
        <v>27110</v>
      </c>
      <c r="I19" s="588">
        <f t="shared" si="4"/>
        <v>117477</v>
      </c>
      <c r="J19" s="589"/>
      <c r="K19" s="433"/>
      <c r="L19" s="435"/>
      <c r="M19" s="433"/>
      <c r="P19" s="433"/>
      <c r="Q19" s="433"/>
      <c r="R19" s="433"/>
      <c r="S19" s="433"/>
      <c r="T19" s="433"/>
    </row>
    <row r="20" spans="1:20" s="434" customFormat="1">
      <c r="A20" s="582" t="s">
        <v>1482</v>
      </c>
      <c r="B20" s="583" t="s">
        <v>1405</v>
      </c>
      <c r="C20" s="584">
        <v>1</v>
      </c>
      <c r="D20" s="585" t="s">
        <v>40</v>
      </c>
      <c r="E20" s="586">
        <v>24097.8</v>
      </c>
      <c r="F20" s="587">
        <f t="shared" si="2"/>
        <v>24098</v>
      </c>
      <c r="G20" s="586">
        <f>ROUND((F20*30%),2)</f>
        <v>7229.4</v>
      </c>
      <c r="H20" s="587">
        <f t="shared" si="3"/>
        <v>7229</v>
      </c>
      <c r="I20" s="588">
        <f t="shared" si="4"/>
        <v>31327</v>
      </c>
      <c r="J20" s="589"/>
      <c r="K20" s="433"/>
      <c r="L20" s="435"/>
      <c r="M20" s="433"/>
      <c r="P20" s="433"/>
      <c r="Q20" s="433"/>
      <c r="R20" s="433"/>
      <c r="S20" s="433"/>
      <c r="T20" s="433"/>
    </row>
    <row r="21" spans="1:20" s="434" customFormat="1">
      <c r="A21" s="598"/>
      <c r="B21" s="628" t="s">
        <v>1387</v>
      </c>
      <c r="C21" s="629"/>
      <c r="D21" s="663"/>
      <c r="E21" s="1328"/>
      <c r="F21" s="631"/>
      <c r="G21" s="1328"/>
      <c r="H21" s="631"/>
      <c r="I21" s="603">
        <f>SUM(I18:I20)</f>
        <v>344598</v>
      </c>
      <c r="J21" s="1329"/>
      <c r="K21" s="433"/>
      <c r="L21" s="435"/>
      <c r="M21" s="433"/>
      <c r="P21" s="433"/>
      <c r="Q21" s="433"/>
      <c r="R21" s="433"/>
      <c r="S21" s="433"/>
      <c r="T21" s="433"/>
    </row>
    <row r="22" spans="1:20" s="433" customFormat="1">
      <c r="A22" s="574" t="s">
        <v>830</v>
      </c>
      <c r="B22" s="590" t="s">
        <v>777</v>
      </c>
      <c r="C22" s="580"/>
      <c r="D22" s="591"/>
      <c r="E22" s="580"/>
      <c r="F22" s="592"/>
      <c r="G22" s="580"/>
      <c r="H22" s="580"/>
      <c r="I22" s="580"/>
      <c r="J22" s="593"/>
      <c r="L22" s="434"/>
      <c r="M22" s="434"/>
      <c r="N22" s="434"/>
      <c r="O22" s="434"/>
    </row>
    <row r="23" spans="1:20" s="433" customFormat="1">
      <c r="A23" s="582" t="s">
        <v>1483</v>
      </c>
      <c r="B23" s="594" t="s">
        <v>778</v>
      </c>
      <c r="C23" s="588">
        <v>1</v>
      </c>
      <c r="D23" s="595" t="s">
        <v>37</v>
      </c>
      <c r="E23" s="588">
        <v>11280</v>
      </c>
      <c r="F23" s="596">
        <f t="shared" ref="F23:F24" si="5">E23*C23</f>
        <v>11280</v>
      </c>
      <c r="G23" s="588">
        <v>500</v>
      </c>
      <c r="H23" s="588">
        <f>G23*C23</f>
        <v>500</v>
      </c>
      <c r="I23" s="588">
        <f t="shared" ref="I23:I24" si="6">H23+F23</f>
        <v>11780</v>
      </c>
      <c r="J23" s="597"/>
      <c r="L23" s="434" t="s">
        <v>779</v>
      </c>
      <c r="M23" s="434"/>
      <c r="N23" s="434"/>
      <c r="O23" s="434"/>
    </row>
    <row r="24" spans="1:20" s="433" customFormat="1">
      <c r="A24" s="582" t="s">
        <v>1484</v>
      </c>
      <c r="B24" s="594" t="s">
        <v>780</v>
      </c>
      <c r="C24" s="588">
        <v>3</v>
      </c>
      <c r="D24" s="595" t="s">
        <v>37</v>
      </c>
      <c r="E24" s="588">
        <v>17880</v>
      </c>
      <c r="F24" s="596">
        <f t="shared" si="5"/>
        <v>53640</v>
      </c>
      <c r="G24" s="588">
        <v>500</v>
      </c>
      <c r="H24" s="588">
        <f>G24*C24</f>
        <v>1500</v>
      </c>
      <c r="I24" s="588">
        <f t="shared" si="6"/>
        <v>55140</v>
      </c>
      <c r="J24" s="597"/>
      <c r="L24" s="434" t="s">
        <v>779</v>
      </c>
      <c r="M24" s="434"/>
      <c r="N24" s="434"/>
      <c r="O24" s="434">
        <v>180733.5</v>
      </c>
    </row>
    <row r="25" spans="1:20" s="433" customFormat="1">
      <c r="A25" s="598"/>
      <c r="B25" s="599" t="s">
        <v>1388</v>
      </c>
      <c r="C25" s="600"/>
      <c r="D25" s="601"/>
      <c r="E25" s="600"/>
      <c r="F25" s="602"/>
      <c r="G25" s="600"/>
      <c r="H25" s="600"/>
      <c r="I25" s="603">
        <f>SUM(I23:I24)</f>
        <v>66920</v>
      </c>
      <c r="J25" s="604"/>
      <c r="L25" s="434"/>
      <c r="M25" s="434"/>
      <c r="N25" s="434"/>
      <c r="O25" s="434"/>
    </row>
    <row r="26" spans="1:20" s="433" customFormat="1">
      <c r="A26" s="605"/>
      <c r="B26" s="606" t="s">
        <v>1312</v>
      </c>
      <c r="C26" s="607"/>
      <c r="D26" s="608"/>
      <c r="E26" s="607"/>
      <c r="F26" s="609"/>
      <c r="G26" s="607"/>
      <c r="H26" s="607"/>
      <c r="I26" s="610">
        <f>I21+I25</f>
        <v>411518</v>
      </c>
      <c r="J26" s="611"/>
      <c r="L26" s="434"/>
      <c r="M26" s="434"/>
      <c r="N26" s="434"/>
      <c r="O26" s="434"/>
    </row>
    <row r="27" spans="1:20" s="433" customFormat="1">
      <c r="A27" s="568" t="s">
        <v>772</v>
      </c>
      <c r="B27" s="612" t="s">
        <v>781</v>
      </c>
      <c r="C27" s="572"/>
      <c r="D27" s="571"/>
      <c r="E27" s="572"/>
      <c r="F27" s="572"/>
      <c r="G27" s="572"/>
      <c r="H27" s="572"/>
      <c r="I27" s="572"/>
      <c r="J27" s="573"/>
      <c r="L27" s="435"/>
      <c r="N27" s="434"/>
      <c r="O27" s="434">
        <v>120489</v>
      </c>
    </row>
    <row r="28" spans="1:20" s="433" customFormat="1">
      <c r="A28" s="574" t="s">
        <v>832</v>
      </c>
      <c r="B28" s="613" t="s">
        <v>783</v>
      </c>
      <c r="C28" s="580"/>
      <c r="D28" s="577"/>
      <c r="E28" s="580"/>
      <c r="F28" s="580"/>
      <c r="G28" s="580"/>
      <c r="H28" s="580"/>
      <c r="I28" s="580"/>
      <c r="J28" s="593"/>
      <c r="L28" s="435"/>
      <c r="N28" s="434"/>
      <c r="O28" s="434">
        <v>30122.3</v>
      </c>
    </row>
    <row r="29" spans="1:20" s="433" customFormat="1">
      <c r="A29" s="582" t="s">
        <v>1485</v>
      </c>
      <c r="B29" s="614" t="s">
        <v>784</v>
      </c>
      <c r="C29" s="588">
        <v>21</v>
      </c>
      <c r="D29" s="584" t="s">
        <v>394</v>
      </c>
      <c r="E29" s="588">
        <v>56.73</v>
      </c>
      <c r="F29" s="587">
        <f t="shared" ref="F29:F31" si="7">ROUND(C29*E29,2)</f>
        <v>1191.33</v>
      </c>
      <c r="G29" s="588">
        <v>30</v>
      </c>
      <c r="H29" s="587">
        <f t="shared" ref="H29:H31" si="8">ROUND(C29*G29,2)</f>
        <v>630</v>
      </c>
      <c r="I29" s="588">
        <f t="shared" ref="I29:I31" si="9">H29+F29</f>
        <v>1821.33</v>
      </c>
      <c r="J29" s="597"/>
      <c r="L29" s="436">
        <v>449</v>
      </c>
      <c r="M29" s="437">
        <f>L29/6</f>
        <v>74.833333333333329</v>
      </c>
      <c r="N29" s="39"/>
      <c r="O29" s="434"/>
    </row>
    <row r="30" spans="1:20" s="433" customFormat="1">
      <c r="A30" s="582" t="s">
        <v>1486</v>
      </c>
      <c r="B30" s="677" t="s">
        <v>785</v>
      </c>
      <c r="C30" s="1330">
        <v>1</v>
      </c>
      <c r="D30" s="664" t="s">
        <v>40</v>
      </c>
      <c r="E30" s="833">
        <f>ROUND((SUM(F29:F29)*30%),2)</f>
        <v>357.4</v>
      </c>
      <c r="F30" s="587">
        <f t="shared" si="7"/>
        <v>357.4</v>
      </c>
      <c r="G30" s="833">
        <f>ROUND((F30*30%),2)</f>
        <v>107.22</v>
      </c>
      <c r="H30" s="587">
        <f t="shared" si="8"/>
        <v>107.22</v>
      </c>
      <c r="I30" s="588">
        <f t="shared" si="9"/>
        <v>464.62</v>
      </c>
      <c r="J30" s="862"/>
      <c r="L30" s="9"/>
      <c r="M30" s="439"/>
      <c r="N30" s="39"/>
      <c r="O30" s="434"/>
    </row>
    <row r="31" spans="1:20" s="433" customFormat="1">
      <c r="A31" s="582" t="s">
        <v>1487</v>
      </c>
      <c r="B31" s="677" t="s">
        <v>1404</v>
      </c>
      <c r="C31" s="1330">
        <v>1</v>
      </c>
      <c r="D31" s="664" t="s">
        <v>40</v>
      </c>
      <c r="E31" s="833">
        <f>ROUND((SUM(F29:F29)*15%),2)</f>
        <v>178.7</v>
      </c>
      <c r="F31" s="587">
        <f t="shared" si="7"/>
        <v>178.7</v>
      </c>
      <c r="G31" s="833">
        <f>ROUND((F31*30%),2)</f>
        <v>53.61</v>
      </c>
      <c r="H31" s="587">
        <f t="shared" si="8"/>
        <v>53.61</v>
      </c>
      <c r="I31" s="588">
        <f t="shared" si="9"/>
        <v>232.31</v>
      </c>
      <c r="J31" s="862"/>
      <c r="L31" s="435"/>
      <c r="M31" s="434"/>
      <c r="O31" s="434"/>
    </row>
    <row r="32" spans="1:20" s="433" customFormat="1">
      <c r="A32" s="598"/>
      <c r="B32" s="1331" t="s">
        <v>1389</v>
      </c>
      <c r="C32" s="1332"/>
      <c r="D32" s="630"/>
      <c r="E32" s="565"/>
      <c r="F32" s="631"/>
      <c r="G32" s="565"/>
      <c r="H32" s="631"/>
      <c r="I32" s="603">
        <f>SUM(I29:I31)</f>
        <v>2518.2599999999998</v>
      </c>
      <c r="J32" s="1333"/>
      <c r="L32" s="435"/>
      <c r="M32" s="434"/>
      <c r="O32" s="434"/>
    </row>
    <row r="33" spans="1:17" s="433" customFormat="1" ht="24" customHeight="1">
      <c r="A33" s="574" t="s">
        <v>833</v>
      </c>
      <c r="B33" s="613" t="s">
        <v>788</v>
      </c>
      <c r="C33" s="615"/>
      <c r="D33" s="580"/>
      <c r="E33" s="616"/>
      <c r="F33" s="580"/>
      <c r="G33" s="616"/>
      <c r="H33" s="580"/>
      <c r="I33" s="580"/>
      <c r="J33" s="593"/>
      <c r="L33" s="441" t="s">
        <v>789</v>
      </c>
      <c r="M33" s="442" t="s">
        <v>790</v>
      </c>
      <c r="N33" s="434"/>
      <c r="O33" s="434"/>
    </row>
    <row r="34" spans="1:17" s="433" customFormat="1">
      <c r="A34" s="582" t="s">
        <v>1488</v>
      </c>
      <c r="B34" s="614" t="s">
        <v>791</v>
      </c>
      <c r="C34" s="588">
        <v>230</v>
      </c>
      <c r="D34" s="584" t="s">
        <v>394</v>
      </c>
      <c r="E34" s="588">
        <v>75</v>
      </c>
      <c r="F34" s="587">
        <f t="shared" ref="F34:F43" si="10">ROUND(C34*E34,2)</f>
        <v>17250</v>
      </c>
      <c r="G34" s="588">
        <v>30</v>
      </c>
      <c r="H34" s="587">
        <f t="shared" ref="H34:H43" si="11">ROUND(C34*G34,2)</f>
        <v>6900</v>
      </c>
      <c r="I34" s="588">
        <f t="shared" ref="I34:I43" si="12">H34+F34</f>
        <v>24150</v>
      </c>
      <c r="J34" s="597"/>
      <c r="L34" s="436">
        <v>449</v>
      </c>
      <c r="M34" s="437">
        <f>L34/6</f>
        <v>74.833333333333329</v>
      </c>
      <c r="N34" s="39"/>
      <c r="O34" s="434"/>
    </row>
    <row r="35" spans="1:17" s="433" customFormat="1">
      <c r="A35" s="582" t="s">
        <v>1489</v>
      </c>
      <c r="B35" s="614" t="s">
        <v>792</v>
      </c>
      <c r="C35" s="588">
        <v>56</v>
      </c>
      <c r="D35" s="584" t="s">
        <v>394</v>
      </c>
      <c r="E35" s="588">
        <v>118</v>
      </c>
      <c r="F35" s="587">
        <f t="shared" si="10"/>
        <v>6608</v>
      </c>
      <c r="G35" s="588">
        <v>50</v>
      </c>
      <c r="H35" s="587">
        <f t="shared" si="11"/>
        <v>2800</v>
      </c>
      <c r="I35" s="588">
        <f t="shared" si="12"/>
        <v>9408</v>
      </c>
      <c r="J35" s="597"/>
      <c r="L35" s="436">
        <v>706</v>
      </c>
      <c r="M35" s="437">
        <f>L35/6</f>
        <v>117.66666666666667</v>
      </c>
      <c r="N35" s="39"/>
      <c r="O35" s="438">
        <f>851/15</f>
        <v>56.733333333333334</v>
      </c>
      <c r="P35" s="39"/>
      <c r="Q35" s="7"/>
    </row>
    <row r="36" spans="1:17" s="433" customFormat="1">
      <c r="A36" s="582" t="s">
        <v>1490</v>
      </c>
      <c r="B36" s="614" t="s">
        <v>793</v>
      </c>
      <c r="C36" s="588">
        <v>212</v>
      </c>
      <c r="D36" s="584" t="s">
        <v>394</v>
      </c>
      <c r="E36" s="588">
        <v>170</v>
      </c>
      <c r="F36" s="587">
        <f t="shared" si="10"/>
        <v>36040</v>
      </c>
      <c r="G36" s="588">
        <v>65</v>
      </c>
      <c r="H36" s="587">
        <f t="shared" si="11"/>
        <v>13780</v>
      </c>
      <c r="I36" s="588">
        <f t="shared" si="12"/>
        <v>49820</v>
      </c>
      <c r="J36" s="597"/>
      <c r="L36" s="436">
        <v>1018</v>
      </c>
      <c r="M36" s="437">
        <f t="shared" ref="M36:M41" si="13">L36/6</f>
        <v>169.66666666666666</v>
      </c>
      <c r="N36" s="39"/>
      <c r="O36" s="439"/>
      <c r="P36" s="39"/>
      <c r="Q36" s="440"/>
    </row>
    <row r="37" spans="1:17" s="433" customFormat="1">
      <c r="A37" s="582" t="s">
        <v>1491</v>
      </c>
      <c r="B37" s="614" t="s">
        <v>794</v>
      </c>
      <c r="C37" s="588">
        <v>95</v>
      </c>
      <c r="D37" s="584" t="s">
        <v>394</v>
      </c>
      <c r="E37" s="588">
        <v>216</v>
      </c>
      <c r="F37" s="587">
        <f t="shared" si="10"/>
        <v>20520</v>
      </c>
      <c r="G37" s="588">
        <v>80</v>
      </c>
      <c r="H37" s="587">
        <f t="shared" si="11"/>
        <v>7600</v>
      </c>
      <c r="I37" s="588">
        <f t="shared" si="12"/>
        <v>28120</v>
      </c>
      <c r="J37" s="597"/>
      <c r="L37" s="436">
        <v>1295</v>
      </c>
      <c r="M37" s="437">
        <f t="shared" si="13"/>
        <v>215.83333333333334</v>
      </c>
      <c r="N37" s="39"/>
      <c r="O37" s="434"/>
    </row>
    <row r="38" spans="1:17" s="433" customFormat="1">
      <c r="A38" s="582" t="s">
        <v>1492</v>
      </c>
      <c r="B38" s="614" t="s">
        <v>795</v>
      </c>
      <c r="C38" s="588">
        <v>56</v>
      </c>
      <c r="D38" s="584" t="s">
        <v>394</v>
      </c>
      <c r="E38" s="588">
        <v>269</v>
      </c>
      <c r="F38" s="587">
        <f t="shared" si="10"/>
        <v>15064</v>
      </c>
      <c r="G38" s="588">
        <v>110</v>
      </c>
      <c r="H38" s="587">
        <f t="shared" si="11"/>
        <v>6160</v>
      </c>
      <c r="I38" s="588">
        <f t="shared" si="12"/>
        <v>21224</v>
      </c>
      <c r="J38" s="597"/>
      <c r="L38" s="436">
        <v>1615</v>
      </c>
      <c r="M38" s="437">
        <f t="shared" si="13"/>
        <v>269.16666666666669</v>
      </c>
      <c r="N38" s="39"/>
      <c r="O38" s="434"/>
      <c r="P38" s="434"/>
      <c r="Q38" s="434"/>
    </row>
    <row r="39" spans="1:17" s="433" customFormat="1">
      <c r="A39" s="582" t="s">
        <v>1493</v>
      </c>
      <c r="B39" s="614" t="s">
        <v>796</v>
      </c>
      <c r="C39" s="588">
        <v>52</v>
      </c>
      <c r="D39" s="584" t="s">
        <v>394</v>
      </c>
      <c r="E39" s="588">
        <v>436</v>
      </c>
      <c r="F39" s="587">
        <f t="shared" si="10"/>
        <v>22672</v>
      </c>
      <c r="G39" s="588">
        <v>150</v>
      </c>
      <c r="H39" s="587">
        <f t="shared" si="11"/>
        <v>7800</v>
      </c>
      <c r="I39" s="588">
        <f t="shared" si="12"/>
        <v>30472</v>
      </c>
      <c r="J39" s="597"/>
      <c r="L39" s="436">
        <v>2527</v>
      </c>
      <c r="M39" s="437">
        <f>L39/5.8</f>
        <v>435.68965517241378</v>
      </c>
      <c r="N39" s="39"/>
      <c r="O39" s="9"/>
      <c r="P39" s="39"/>
      <c r="Q39" s="7"/>
    </row>
    <row r="40" spans="1:17" s="433" customFormat="1">
      <c r="A40" s="582" t="s">
        <v>1494</v>
      </c>
      <c r="B40" s="614" t="s">
        <v>797</v>
      </c>
      <c r="C40" s="588">
        <v>58</v>
      </c>
      <c r="D40" s="584" t="s">
        <v>394</v>
      </c>
      <c r="E40" s="588">
        <v>570</v>
      </c>
      <c r="F40" s="587">
        <f t="shared" si="10"/>
        <v>33060</v>
      </c>
      <c r="G40" s="588">
        <v>200</v>
      </c>
      <c r="H40" s="587">
        <f t="shared" si="11"/>
        <v>11600</v>
      </c>
      <c r="I40" s="588">
        <f t="shared" si="12"/>
        <v>44660</v>
      </c>
      <c r="J40" s="597"/>
      <c r="L40" s="436">
        <v>3417</v>
      </c>
      <c r="M40" s="437">
        <f t="shared" si="13"/>
        <v>569.5</v>
      </c>
      <c r="N40" s="39"/>
      <c r="O40" s="439"/>
      <c r="P40" s="39"/>
      <c r="Q40" s="440"/>
    </row>
    <row r="41" spans="1:17" s="433" customFormat="1">
      <c r="A41" s="582" t="s">
        <v>1495</v>
      </c>
      <c r="B41" s="614" t="s">
        <v>798</v>
      </c>
      <c r="C41" s="588">
        <v>43</v>
      </c>
      <c r="D41" s="584" t="s">
        <v>394</v>
      </c>
      <c r="E41" s="588">
        <v>734</v>
      </c>
      <c r="F41" s="587">
        <f t="shared" si="10"/>
        <v>31562</v>
      </c>
      <c r="G41" s="588">
        <v>255</v>
      </c>
      <c r="H41" s="587">
        <f t="shared" si="11"/>
        <v>10965</v>
      </c>
      <c r="I41" s="588">
        <f t="shared" si="12"/>
        <v>42527</v>
      </c>
      <c r="J41" s="597"/>
      <c r="L41" s="436">
        <v>4403</v>
      </c>
      <c r="M41" s="437">
        <f t="shared" si="13"/>
        <v>733.83333333333337</v>
      </c>
      <c r="N41" s="39"/>
      <c r="O41" s="439"/>
      <c r="P41" s="39"/>
      <c r="Q41" s="440"/>
    </row>
    <row r="42" spans="1:17" s="433" customFormat="1">
      <c r="A42" s="582" t="s">
        <v>1496</v>
      </c>
      <c r="B42" s="677" t="s">
        <v>785</v>
      </c>
      <c r="C42" s="1330">
        <v>1</v>
      </c>
      <c r="D42" s="664" t="s">
        <v>40</v>
      </c>
      <c r="E42" s="586">
        <f>ROUND((SUM(F33:F41)*30%),2)</f>
        <v>54832.800000000003</v>
      </c>
      <c r="F42" s="587">
        <f t="shared" si="10"/>
        <v>54832.800000000003</v>
      </c>
      <c r="G42" s="833">
        <f>ROUND((F42*30%),2)</f>
        <v>16449.84</v>
      </c>
      <c r="H42" s="587">
        <f t="shared" si="11"/>
        <v>16449.84</v>
      </c>
      <c r="I42" s="588">
        <f t="shared" si="12"/>
        <v>71282.64</v>
      </c>
      <c r="J42" s="862"/>
      <c r="L42" s="9"/>
      <c r="M42" s="439"/>
      <c r="N42" s="39"/>
      <c r="O42" s="439"/>
      <c r="P42" s="39"/>
      <c r="Q42" s="440"/>
    </row>
    <row r="43" spans="1:17" s="433" customFormat="1">
      <c r="A43" s="582" t="s">
        <v>1497</v>
      </c>
      <c r="B43" s="677" t="s">
        <v>1404</v>
      </c>
      <c r="C43" s="1330">
        <v>1</v>
      </c>
      <c r="D43" s="664" t="s">
        <v>40</v>
      </c>
      <c r="E43" s="586">
        <f>ROUND((SUM(F33:F41)*15%),2)</f>
        <v>27416.400000000001</v>
      </c>
      <c r="F43" s="587">
        <f t="shared" si="10"/>
        <v>27416.400000000001</v>
      </c>
      <c r="G43" s="833">
        <f>ROUND((F43*30%),2)</f>
        <v>8224.92</v>
      </c>
      <c r="H43" s="587">
        <f t="shared" si="11"/>
        <v>8224.92</v>
      </c>
      <c r="I43" s="588">
        <f t="shared" si="12"/>
        <v>35641.32</v>
      </c>
      <c r="J43" s="862"/>
      <c r="L43" s="435"/>
      <c r="M43" s="434"/>
      <c r="O43" s="439"/>
      <c r="P43" s="39"/>
      <c r="Q43" s="440"/>
    </row>
    <row r="44" spans="1:17" s="433" customFormat="1">
      <c r="A44" s="659"/>
      <c r="B44" s="1331" t="s">
        <v>1390</v>
      </c>
      <c r="C44" s="1334"/>
      <c r="D44" s="1335"/>
      <c r="E44" s="1336"/>
      <c r="F44" s="1337"/>
      <c r="G44" s="697"/>
      <c r="H44" s="1337"/>
      <c r="I44" s="603">
        <f>SUM(I34:I43)</f>
        <v>357304.96</v>
      </c>
      <c r="J44" s="1338"/>
      <c r="L44" s="435"/>
      <c r="M44" s="434"/>
      <c r="O44" s="439"/>
      <c r="P44" s="39"/>
      <c r="Q44" s="440"/>
    </row>
    <row r="45" spans="1:17" s="433" customFormat="1" ht="24" customHeight="1">
      <c r="A45" s="574" t="s">
        <v>834</v>
      </c>
      <c r="B45" s="613" t="s">
        <v>800</v>
      </c>
      <c r="C45" s="580"/>
      <c r="D45" s="617"/>
      <c r="E45" s="616"/>
      <c r="F45" s="580"/>
      <c r="G45" s="616"/>
      <c r="H45" s="580"/>
      <c r="I45" s="580"/>
      <c r="J45" s="593"/>
      <c r="L45" s="442" t="s">
        <v>801</v>
      </c>
      <c r="M45" s="9"/>
      <c r="O45" s="439"/>
      <c r="P45" s="39"/>
      <c r="Q45" s="440"/>
    </row>
    <row r="46" spans="1:17" s="433" customFormat="1">
      <c r="A46" s="582" t="s">
        <v>1498</v>
      </c>
      <c r="B46" s="614" t="s">
        <v>802</v>
      </c>
      <c r="C46" s="588">
        <v>21</v>
      </c>
      <c r="D46" s="584" t="s">
        <v>394</v>
      </c>
      <c r="E46" s="588">
        <v>60.11</v>
      </c>
      <c r="F46" s="587">
        <f t="shared" ref="F46:F55" si="14">ROUND(C46*E46,2)</f>
        <v>1262.31</v>
      </c>
      <c r="G46" s="588">
        <v>15</v>
      </c>
      <c r="H46" s="587">
        <f t="shared" ref="H46:H55" si="15">ROUND(C46*G46,2)</f>
        <v>315</v>
      </c>
      <c r="I46" s="588">
        <f t="shared" ref="I46:I55" si="16">H46+F46</f>
        <v>1577.31</v>
      </c>
      <c r="J46" s="597"/>
      <c r="L46" s="436">
        <v>120</v>
      </c>
      <c r="M46" s="437">
        <f>ROUND(L46/1.83,2)</f>
        <v>65.569999999999993</v>
      </c>
      <c r="O46" s="439"/>
      <c r="P46" s="39"/>
      <c r="Q46" s="440"/>
    </row>
    <row r="47" spans="1:17" s="433" customFormat="1">
      <c r="A47" s="582" t="s">
        <v>1499</v>
      </c>
      <c r="B47" s="614" t="s">
        <v>803</v>
      </c>
      <c r="C47" s="588">
        <v>230</v>
      </c>
      <c r="D47" s="584" t="s">
        <v>394</v>
      </c>
      <c r="E47" s="588">
        <v>65.569999999999993</v>
      </c>
      <c r="F47" s="587">
        <f t="shared" si="14"/>
        <v>15081.1</v>
      </c>
      <c r="G47" s="588">
        <v>15</v>
      </c>
      <c r="H47" s="587">
        <f t="shared" si="15"/>
        <v>3450</v>
      </c>
      <c r="I47" s="588">
        <f t="shared" si="16"/>
        <v>18531.099999999999</v>
      </c>
      <c r="J47" s="597"/>
      <c r="L47" s="436">
        <v>120</v>
      </c>
      <c r="M47" s="437">
        <f>ROUND(L47/1.83,2)</f>
        <v>65.569999999999993</v>
      </c>
      <c r="O47" s="439"/>
      <c r="P47" s="39"/>
      <c r="Q47" s="440"/>
    </row>
    <row r="48" spans="1:17" s="433" customFormat="1">
      <c r="A48" s="582" t="s">
        <v>1500</v>
      </c>
      <c r="B48" s="614" t="s">
        <v>804</v>
      </c>
      <c r="C48" s="588">
        <v>56</v>
      </c>
      <c r="D48" s="584" t="s">
        <v>394</v>
      </c>
      <c r="E48" s="588">
        <v>71.040000000000006</v>
      </c>
      <c r="F48" s="587">
        <f t="shared" si="14"/>
        <v>3978.24</v>
      </c>
      <c r="G48" s="588">
        <v>15</v>
      </c>
      <c r="H48" s="587">
        <f t="shared" si="15"/>
        <v>840</v>
      </c>
      <c r="I48" s="588">
        <f t="shared" si="16"/>
        <v>4818.24</v>
      </c>
      <c r="J48" s="597"/>
      <c r="L48" s="436">
        <v>130</v>
      </c>
      <c r="M48" s="437">
        <f t="shared" ref="M48:M54" si="17">ROUND(L48/1.83,2)</f>
        <v>71.040000000000006</v>
      </c>
      <c r="O48" s="439"/>
      <c r="P48" s="39"/>
      <c r="Q48" s="440"/>
    </row>
    <row r="49" spans="1:16" s="433" customFormat="1">
      <c r="A49" s="582" t="s">
        <v>1501</v>
      </c>
      <c r="B49" s="614" t="s">
        <v>805</v>
      </c>
      <c r="C49" s="588">
        <v>212</v>
      </c>
      <c r="D49" s="584" t="s">
        <v>394</v>
      </c>
      <c r="E49" s="588">
        <v>76.5</v>
      </c>
      <c r="F49" s="587">
        <f t="shared" si="14"/>
        <v>16218</v>
      </c>
      <c r="G49" s="588">
        <v>16</v>
      </c>
      <c r="H49" s="587">
        <f t="shared" si="15"/>
        <v>3392</v>
      </c>
      <c r="I49" s="588">
        <f t="shared" si="16"/>
        <v>19610</v>
      </c>
      <c r="J49" s="597"/>
      <c r="L49" s="436">
        <v>140</v>
      </c>
      <c r="M49" s="437">
        <f t="shared" si="17"/>
        <v>76.5</v>
      </c>
      <c r="O49" s="434"/>
    </row>
    <row r="50" spans="1:16" s="433" customFormat="1">
      <c r="A50" s="582" t="s">
        <v>1502</v>
      </c>
      <c r="B50" s="614" t="s">
        <v>806</v>
      </c>
      <c r="C50" s="588">
        <v>95</v>
      </c>
      <c r="D50" s="584" t="s">
        <v>394</v>
      </c>
      <c r="E50" s="588">
        <v>81.97</v>
      </c>
      <c r="F50" s="587">
        <f t="shared" si="14"/>
        <v>7787.15</v>
      </c>
      <c r="G50" s="588">
        <v>18</v>
      </c>
      <c r="H50" s="587">
        <f t="shared" si="15"/>
        <v>1710</v>
      </c>
      <c r="I50" s="588">
        <f t="shared" si="16"/>
        <v>9497.15</v>
      </c>
      <c r="J50" s="597"/>
      <c r="L50" s="436">
        <v>150</v>
      </c>
      <c r="M50" s="437">
        <f t="shared" si="17"/>
        <v>81.97</v>
      </c>
      <c r="O50" s="434"/>
    </row>
    <row r="51" spans="1:16" s="433" customFormat="1">
      <c r="A51" s="582" t="s">
        <v>1503</v>
      </c>
      <c r="B51" s="614" t="s">
        <v>807</v>
      </c>
      <c r="C51" s="588">
        <v>56</v>
      </c>
      <c r="D51" s="584" t="s">
        <v>394</v>
      </c>
      <c r="E51" s="588">
        <v>87.43</v>
      </c>
      <c r="F51" s="587">
        <f t="shared" si="14"/>
        <v>4896.08</v>
      </c>
      <c r="G51" s="588">
        <v>20</v>
      </c>
      <c r="H51" s="587">
        <f t="shared" si="15"/>
        <v>1120</v>
      </c>
      <c r="I51" s="588">
        <f t="shared" si="16"/>
        <v>6016.08</v>
      </c>
      <c r="J51" s="597"/>
      <c r="L51" s="436">
        <v>160</v>
      </c>
      <c r="M51" s="437">
        <f t="shared" si="17"/>
        <v>87.43</v>
      </c>
      <c r="O51" s="438">
        <f>110/1.83</f>
        <v>60.10928961748634</v>
      </c>
    </row>
    <row r="52" spans="1:16" s="433" customFormat="1">
      <c r="A52" s="582" t="s">
        <v>1504</v>
      </c>
      <c r="B52" s="614" t="s">
        <v>808</v>
      </c>
      <c r="C52" s="588">
        <v>52</v>
      </c>
      <c r="D52" s="584" t="s">
        <v>394</v>
      </c>
      <c r="E52" s="588">
        <v>98.36</v>
      </c>
      <c r="F52" s="587">
        <f t="shared" si="14"/>
        <v>5114.72</v>
      </c>
      <c r="G52" s="588">
        <v>25</v>
      </c>
      <c r="H52" s="587">
        <f t="shared" si="15"/>
        <v>1300</v>
      </c>
      <c r="I52" s="588">
        <f t="shared" si="16"/>
        <v>6414.72</v>
      </c>
      <c r="J52" s="597"/>
      <c r="L52" s="436">
        <v>180</v>
      </c>
      <c r="M52" s="437">
        <f t="shared" si="17"/>
        <v>98.36</v>
      </c>
      <c r="O52" s="434"/>
    </row>
    <row r="53" spans="1:16" s="433" customFormat="1">
      <c r="A53" s="582" t="s">
        <v>1505</v>
      </c>
      <c r="B53" s="614" t="s">
        <v>809</v>
      </c>
      <c r="C53" s="588">
        <v>58</v>
      </c>
      <c r="D53" s="584" t="s">
        <v>394</v>
      </c>
      <c r="E53" s="588">
        <v>114.75</v>
      </c>
      <c r="F53" s="587">
        <f t="shared" si="14"/>
        <v>6655.5</v>
      </c>
      <c r="G53" s="588">
        <v>25</v>
      </c>
      <c r="H53" s="587">
        <f t="shared" si="15"/>
        <v>1450</v>
      </c>
      <c r="I53" s="588">
        <f t="shared" si="16"/>
        <v>8105.5</v>
      </c>
      <c r="J53" s="597"/>
      <c r="L53" s="436">
        <v>210</v>
      </c>
      <c r="M53" s="437">
        <f t="shared" si="17"/>
        <v>114.75</v>
      </c>
      <c r="O53" s="434"/>
    </row>
    <row r="54" spans="1:16" s="433" customFormat="1">
      <c r="A54" s="582" t="s">
        <v>1506</v>
      </c>
      <c r="B54" s="614" t="s">
        <v>810</v>
      </c>
      <c r="C54" s="588">
        <v>43</v>
      </c>
      <c r="D54" s="584" t="s">
        <v>394</v>
      </c>
      <c r="E54" s="588">
        <v>153.01</v>
      </c>
      <c r="F54" s="587">
        <f t="shared" si="14"/>
        <v>6579.43</v>
      </c>
      <c r="G54" s="588">
        <v>35</v>
      </c>
      <c r="H54" s="587">
        <f t="shared" si="15"/>
        <v>1505</v>
      </c>
      <c r="I54" s="588">
        <f t="shared" si="16"/>
        <v>8084.43</v>
      </c>
      <c r="J54" s="597"/>
      <c r="L54" s="436">
        <v>280</v>
      </c>
      <c r="M54" s="437">
        <f t="shared" si="17"/>
        <v>153.01</v>
      </c>
      <c r="O54" s="434"/>
    </row>
    <row r="55" spans="1:16" s="433" customFormat="1">
      <c r="A55" s="582" t="s">
        <v>1507</v>
      </c>
      <c r="B55" s="677" t="s">
        <v>1403</v>
      </c>
      <c r="C55" s="588">
        <v>1</v>
      </c>
      <c r="D55" s="664" t="s">
        <v>40</v>
      </c>
      <c r="E55" s="586">
        <f>ROUND((SUM(F46:F54)*10%),2)</f>
        <v>6757.25</v>
      </c>
      <c r="F55" s="587">
        <f t="shared" si="14"/>
        <v>6757.25</v>
      </c>
      <c r="G55" s="833">
        <f>ROUND((F55*30%),2)</f>
        <v>2027.18</v>
      </c>
      <c r="H55" s="587">
        <f t="shared" si="15"/>
        <v>2027.18</v>
      </c>
      <c r="I55" s="588">
        <f t="shared" si="16"/>
        <v>8784.43</v>
      </c>
      <c r="J55" s="597"/>
      <c r="M55" s="443"/>
      <c r="O55" s="434"/>
    </row>
    <row r="56" spans="1:16" s="433" customFormat="1">
      <c r="A56" s="659"/>
      <c r="B56" s="1331" t="s">
        <v>1391</v>
      </c>
      <c r="C56" s="603"/>
      <c r="D56" s="1335"/>
      <c r="E56" s="1336"/>
      <c r="F56" s="1337"/>
      <c r="G56" s="697"/>
      <c r="H56" s="1337"/>
      <c r="I56" s="603">
        <f>SUM(I46:I55)</f>
        <v>91438.959999999992</v>
      </c>
      <c r="J56" s="1339"/>
      <c r="M56" s="443"/>
      <c r="O56" s="434"/>
    </row>
    <row r="57" spans="1:16" s="433" customFormat="1">
      <c r="A57" s="574" t="s">
        <v>835</v>
      </c>
      <c r="B57" s="613" t="s">
        <v>811</v>
      </c>
      <c r="C57" s="580"/>
      <c r="D57" s="576"/>
      <c r="E57" s="580"/>
      <c r="F57" s="580"/>
      <c r="G57" s="580"/>
      <c r="H57" s="580"/>
      <c r="I57" s="580"/>
      <c r="J57" s="593"/>
      <c r="L57" s="444" t="s">
        <v>812</v>
      </c>
      <c r="M57" s="9"/>
      <c r="O57" s="434"/>
    </row>
    <row r="58" spans="1:16" s="433" customFormat="1">
      <c r="A58" s="582" t="s">
        <v>1509</v>
      </c>
      <c r="B58" s="614" t="s">
        <v>814</v>
      </c>
      <c r="C58" s="588">
        <v>13</v>
      </c>
      <c r="D58" s="584" t="s">
        <v>394</v>
      </c>
      <c r="E58" s="588">
        <v>12.7</v>
      </c>
      <c r="F58" s="587">
        <f t="shared" ref="F58:F65" si="18">ROUND(C58*E58,2)</f>
        <v>165.1</v>
      </c>
      <c r="G58" s="588">
        <v>25</v>
      </c>
      <c r="H58" s="587">
        <f t="shared" ref="H58:H66" si="19">ROUND(C58*G58,2)</f>
        <v>325</v>
      </c>
      <c r="I58" s="588">
        <f t="shared" ref="I58:I66" si="20">H58+F58</f>
        <v>490.1</v>
      </c>
      <c r="J58" s="597"/>
      <c r="L58" s="436">
        <v>74.760000000000005</v>
      </c>
      <c r="M58" s="445">
        <f t="shared" ref="M58:M62" si="21">L58/4</f>
        <v>18.690000000000001</v>
      </c>
      <c r="O58" s="434"/>
    </row>
    <row r="59" spans="1:16" s="433" customFormat="1">
      <c r="A59" s="582" t="s">
        <v>1510</v>
      </c>
      <c r="B59" s="614" t="s">
        <v>815</v>
      </c>
      <c r="C59" s="588">
        <v>163</v>
      </c>
      <c r="D59" s="584" t="s">
        <v>394</v>
      </c>
      <c r="E59" s="588">
        <v>16.8</v>
      </c>
      <c r="F59" s="587">
        <f t="shared" si="18"/>
        <v>2738.4</v>
      </c>
      <c r="G59" s="588">
        <v>25</v>
      </c>
      <c r="H59" s="587">
        <f t="shared" si="19"/>
        <v>4075</v>
      </c>
      <c r="I59" s="588">
        <f t="shared" si="20"/>
        <v>6813.4</v>
      </c>
      <c r="J59" s="597"/>
      <c r="L59" s="436">
        <v>74.760000000000005</v>
      </c>
      <c r="M59" s="445">
        <f t="shared" si="21"/>
        <v>18.690000000000001</v>
      </c>
      <c r="O59" s="434"/>
    </row>
    <row r="60" spans="1:16" s="433" customFormat="1">
      <c r="A60" s="582" t="s">
        <v>1511</v>
      </c>
      <c r="B60" s="614" t="s">
        <v>816</v>
      </c>
      <c r="C60" s="588">
        <v>172</v>
      </c>
      <c r="D60" s="584" t="s">
        <v>394</v>
      </c>
      <c r="E60" s="588">
        <v>20.9</v>
      </c>
      <c r="F60" s="587">
        <f t="shared" si="18"/>
        <v>3594.8</v>
      </c>
      <c r="G60" s="588">
        <v>25</v>
      </c>
      <c r="H60" s="587">
        <f t="shared" si="19"/>
        <v>4300</v>
      </c>
      <c r="I60" s="588">
        <f t="shared" si="20"/>
        <v>7894.8</v>
      </c>
      <c r="J60" s="597"/>
      <c r="L60" s="436">
        <v>93.01</v>
      </c>
      <c r="M60" s="445">
        <f t="shared" si="21"/>
        <v>23.252500000000001</v>
      </c>
      <c r="O60" s="434"/>
    </row>
    <row r="61" spans="1:16" s="433" customFormat="1">
      <c r="A61" s="582" t="s">
        <v>1512</v>
      </c>
      <c r="B61" s="614" t="s">
        <v>817</v>
      </c>
      <c r="C61" s="588">
        <v>18</v>
      </c>
      <c r="D61" s="595" t="s">
        <v>394</v>
      </c>
      <c r="E61" s="588">
        <v>27.4</v>
      </c>
      <c r="F61" s="587">
        <f t="shared" si="18"/>
        <v>493.2</v>
      </c>
      <c r="G61" s="588">
        <v>25</v>
      </c>
      <c r="H61" s="587">
        <f t="shared" si="19"/>
        <v>450</v>
      </c>
      <c r="I61" s="588">
        <f t="shared" si="20"/>
        <v>943.2</v>
      </c>
      <c r="J61" s="597"/>
      <c r="L61" s="436">
        <v>121.93</v>
      </c>
      <c r="M61" s="445">
        <f t="shared" si="21"/>
        <v>30.482500000000002</v>
      </c>
      <c r="O61" s="434"/>
    </row>
    <row r="62" spans="1:16" s="433" customFormat="1">
      <c r="A62" s="582" t="s">
        <v>1513</v>
      </c>
      <c r="B62" s="614" t="s">
        <v>818</v>
      </c>
      <c r="C62" s="588">
        <v>19</v>
      </c>
      <c r="D62" s="595" t="s">
        <v>394</v>
      </c>
      <c r="E62" s="588">
        <v>43.2</v>
      </c>
      <c r="F62" s="587">
        <f t="shared" si="18"/>
        <v>820.8</v>
      </c>
      <c r="G62" s="588">
        <v>25</v>
      </c>
      <c r="H62" s="587">
        <f t="shared" si="19"/>
        <v>475</v>
      </c>
      <c r="I62" s="588">
        <f t="shared" si="20"/>
        <v>1295.8</v>
      </c>
      <c r="J62" s="597"/>
      <c r="L62" s="436">
        <v>121.93</v>
      </c>
      <c r="M62" s="445">
        <f t="shared" si="21"/>
        <v>30.482500000000002</v>
      </c>
      <c r="O62" s="444" t="s">
        <v>813</v>
      </c>
      <c r="P62" s="9"/>
    </row>
    <row r="63" spans="1:16" s="433" customFormat="1">
      <c r="A63" s="582" t="s">
        <v>1514</v>
      </c>
      <c r="B63" s="677" t="s">
        <v>785</v>
      </c>
      <c r="C63" s="1330">
        <v>1</v>
      </c>
      <c r="D63" s="664" t="s">
        <v>40</v>
      </c>
      <c r="E63" s="833">
        <f>ROUND((SUM(F58:F62)*40%),2)</f>
        <v>3124.92</v>
      </c>
      <c r="F63" s="587">
        <f t="shared" si="18"/>
        <v>3124.92</v>
      </c>
      <c r="G63" s="833">
        <f>ROUND((F63*30%),2)</f>
        <v>937.48</v>
      </c>
      <c r="H63" s="587">
        <f t="shared" si="19"/>
        <v>937.48</v>
      </c>
      <c r="I63" s="588">
        <f t="shared" si="20"/>
        <v>4062.4</v>
      </c>
      <c r="J63" s="862"/>
      <c r="L63" s="442" t="s">
        <v>819</v>
      </c>
      <c r="M63" s="434"/>
      <c r="O63" s="436">
        <v>50.8</v>
      </c>
      <c r="P63" s="445">
        <f>O63/4</f>
        <v>12.7</v>
      </c>
    </row>
    <row r="64" spans="1:16" s="433" customFormat="1">
      <c r="A64" s="582" t="s">
        <v>1515</v>
      </c>
      <c r="B64" s="677" t="s">
        <v>786</v>
      </c>
      <c r="C64" s="1330">
        <v>1</v>
      </c>
      <c r="D64" s="664" t="s">
        <v>40</v>
      </c>
      <c r="E64" s="833">
        <f>ROUND((SUM(F58:F62)*30%),2)</f>
        <v>2343.69</v>
      </c>
      <c r="F64" s="587">
        <f t="shared" si="18"/>
        <v>2343.69</v>
      </c>
      <c r="G64" s="833">
        <f>ROUND((F64*30%),2)</f>
        <v>703.11</v>
      </c>
      <c r="H64" s="587">
        <f t="shared" si="19"/>
        <v>703.11</v>
      </c>
      <c r="I64" s="588">
        <f t="shared" si="20"/>
        <v>3046.8</v>
      </c>
      <c r="J64" s="862"/>
      <c r="L64" s="442" t="s">
        <v>819</v>
      </c>
      <c r="M64" s="434"/>
      <c r="O64" s="436">
        <v>67.2</v>
      </c>
      <c r="P64" s="445">
        <f t="shared" ref="P64:P68" si="22">O64/4</f>
        <v>16.8</v>
      </c>
    </row>
    <row r="65" spans="1:21" s="433" customFormat="1">
      <c r="A65" s="582" t="s">
        <v>1516</v>
      </c>
      <c r="B65" s="1340" t="s">
        <v>820</v>
      </c>
      <c r="C65" s="1330">
        <v>1</v>
      </c>
      <c r="D65" s="664" t="s">
        <v>40</v>
      </c>
      <c r="E65" s="833">
        <f>ROUND((SUM(F58:F62)*10%),2)</f>
        <v>781.23</v>
      </c>
      <c r="F65" s="587">
        <f t="shared" si="18"/>
        <v>781.23</v>
      </c>
      <c r="G65" s="833">
        <f>ROUND((F65*30%),2)</f>
        <v>234.37</v>
      </c>
      <c r="H65" s="587">
        <f t="shared" si="19"/>
        <v>234.37</v>
      </c>
      <c r="I65" s="588">
        <f t="shared" si="20"/>
        <v>1015.6</v>
      </c>
      <c r="J65" s="862"/>
      <c r="L65" s="442" t="s">
        <v>819</v>
      </c>
      <c r="M65" s="434"/>
      <c r="O65" s="436">
        <v>83.6</v>
      </c>
      <c r="P65" s="445">
        <f t="shared" si="22"/>
        <v>20.9</v>
      </c>
    </row>
    <row r="66" spans="1:21" s="433" customFormat="1">
      <c r="A66" s="582" t="s">
        <v>1517</v>
      </c>
      <c r="B66" s="677" t="s">
        <v>1403</v>
      </c>
      <c r="C66" s="588">
        <v>1</v>
      </c>
      <c r="D66" s="664" t="s">
        <v>40</v>
      </c>
      <c r="E66" s="833">
        <f>ROUND((SUM(F57:F65)*10%),2)</f>
        <v>1406.21</v>
      </c>
      <c r="F66" s="587">
        <f>ROUND(C66*E66,2)</f>
        <v>1406.21</v>
      </c>
      <c r="G66" s="833">
        <f>ROUND((F66*30%),2)</f>
        <v>421.86</v>
      </c>
      <c r="H66" s="587">
        <f t="shared" si="19"/>
        <v>421.86</v>
      </c>
      <c r="I66" s="588">
        <f t="shared" si="20"/>
        <v>1828.0700000000002</v>
      </c>
      <c r="J66" s="862"/>
      <c r="L66" s="442"/>
      <c r="M66" s="434"/>
      <c r="O66" s="436">
        <v>109.6</v>
      </c>
      <c r="P66" s="445">
        <f t="shared" si="22"/>
        <v>27.4</v>
      </c>
    </row>
    <row r="67" spans="1:21" s="433" customFormat="1">
      <c r="A67" s="659"/>
      <c r="B67" s="1331" t="s">
        <v>1392</v>
      </c>
      <c r="C67" s="603"/>
      <c r="D67" s="1335"/>
      <c r="E67" s="697"/>
      <c r="F67" s="1337"/>
      <c r="G67" s="697"/>
      <c r="H67" s="1337"/>
      <c r="I67" s="603">
        <f>SUM(I58:I66)</f>
        <v>27390.17</v>
      </c>
      <c r="J67" s="1338"/>
      <c r="L67" s="442"/>
      <c r="M67" s="434"/>
      <c r="O67" s="436"/>
      <c r="P67" s="445"/>
    </row>
    <row r="68" spans="1:21" s="433" customFormat="1">
      <c r="A68" s="574" t="s">
        <v>836</v>
      </c>
      <c r="B68" s="613" t="s">
        <v>821</v>
      </c>
      <c r="C68" s="580"/>
      <c r="D68" s="576"/>
      <c r="E68" s="580"/>
      <c r="F68" s="580"/>
      <c r="G68" s="580"/>
      <c r="H68" s="580"/>
      <c r="I68" s="580"/>
      <c r="J68" s="593"/>
      <c r="L68" s="442" t="s">
        <v>801</v>
      </c>
      <c r="M68" s="9"/>
      <c r="O68" s="436">
        <v>172.8</v>
      </c>
      <c r="P68" s="445">
        <f t="shared" si="22"/>
        <v>43.2</v>
      </c>
    </row>
    <row r="69" spans="1:21" s="433" customFormat="1">
      <c r="A69" s="582" t="s">
        <v>1519</v>
      </c>
      <c r="B69" s="614" t="s">
        <v>822</v>
      </c>
      <c r="C69" s="588">
        <v>13</v>
      </c>
      <c r="D69" s="584" t="s">
        <v>394</v>
      </c>
      <c r="E69" s="588">
        <v>57.38</v>
      </c>
      <c r="F69" s="587">
        <f t="shared" ref="F69:F74" si="23">ROUND(C69*E69,2)</f>
        <v>745.94</v>
      </c>
      <c r="G69" s="588">
        <v>14</v>
      </c>
      <c r="H69" s="587">
        <f t="shared" ref="H69:H74" si="24">ROUND(C69*G69,2)</f>
        <v>182</v>
      </c>
      <c r="I69" s="588">
        <f t="shared" ref="I69:I74" si="25">H69+F69</f>
        <v>927.94</v>
      </c>
      <c r="J69" s="597"/>
      <c r="L69" s="436">
        <v>120</v>
      </c>
      <c r="M69" s="445">
        <f t="shared" ref="M69:M70" si="26">L69/1.83</f>
        <v>65.573770491803273</v>
      </c>
      <c r="O69" s="442" t="s">
        <v>819</v>
      </c>
    </row>
    <row r="70" spans="1:21" s="433" customFormat="1">
      <c r="A70" s="582" t="s">
        <v>1521</v>
      </c>
      <c r="B70" s="614" t="s">
        <v>823</v>
      </c>
      <c r="C70" s="588">
        <v>163</v>
      </c>
      <c r="D70" s="584" t="s">
        <v>394</v>
      </c>
      <c r="E70" s="588">
        <v>65.569999999999993</v>
      </c>
      <c r="F70" s="587">
        <f t="shared" si="23"/>
        <v>10687.91</v>
      </c>
      <c r="G70" s="588">
        <v>16</v>
      </c>
      <c r="H70" s="587">
        <f t="shared" si="24"/>
        <v>2608</v>
      </c>
      <c r="I70" s="588">
        <f t="shared" si="25"/>
        <v>13295.91</v>
      </c>
      <c r="J70" s="597"/>
      <c r="L70" s="436">
        <v>120</v>
      </c>
      <c r="M70" s="445">
        <f t="shared" si="26"/>
        <v>65.573770491803273</v>
      </c>
      <c r="O70" s="442" t="s">
        <v>819</v>
      </c>
    </row>
    <row r="71" spans="1:21" s="433" customFormat="1">
      <c r="A71" s="582" t="s">
        <v>1522</v>
      </c>
      <c r="B71" s="614" t="s">
        <v>824</v>
      </c>
      <c r="C71" s="588">
        <v>172</v>
      </c>
      <c r="D71" s="584" t="s">
        <v>394</v>
      </c>
      <c r="E71" s="588">
        <v>76.5</v>
      </c>
      <c r="F71" s="587">
        <f t="shared" si="23"/>
        <v>13158</v>
      </c>
      <c r="G71" s="588">
        <v>18</v>
      </c>
      <c r="H71" s="587">
        <f t="shared" si="24"/>
        <v>3096</v>
      </c>
      <c r="I71" s="588">
        <f t="shared" si="25"/>
        <v>16254</v>
      </c>
      <c r="J71" s="597"/>
      <c r="L71" s="436">
        <v>140</v>
      </c>
      <c r="M71" s="445">
        <f>L71/1.83</f>
        <v>76.502732240437155</v>
      </c>
      <c r="O71" s="442" t="s">
        <v>819</v>
      </c>
    </row>
    <row r="72" spans="1:21" s="433" customFormat="1">
      <c r="A72" s="582" t="s">
        <v>1523</v>
      </c>
      <c r="B72" s="614" t="s">
        <v>825</v>
      </c>
      <c r="C72" s="588">
        <v>18</v>
      </c>
      <c r="D72" s="595" t="s">
        <v>394</v>
      </c>
      <c r="E72" s="588">
        <v>81.97</v>
      </c>
      <c r="F72" s="587">
        <f t="shared" si="23"/>
        <v>1475.46</v>
      </c>
      <c r="G72" s="588">
        <v>20</v>
      </c>
      <c r="H72" s="587">
        <f t="shared" si="24"/>
        <v>360</v>
      </c>
      <c r="I72" s="588">
        <f t="shared" si="25"/>
        <v>1835.46</v>
      </c>
      <c r="J72" s="597"/>
      <c r="L72" s="436">
        <v>150</v>
      </c>
      <c r="M72" s="445">
        <f t="shared" ref="M72:M73" si="27">L72/1.83</f>
        <v>81.967213114754088</v>
      </c>
      <c r="O72" s="442"/>
    </row>
    <row r="73" spans="1:21" s="433" customFormat="1">
      <c r="A73" s="582" t="s">
        <v>1524</v>
      </c>
      <c r="B73" s="614" t="s">
        <v>826</v>
      </c>
      <c r="C73" s="588">
        <v>19</v>
      </c>
      <c r="D73" s="595" t="s">
        <v>394</v>
      </c>
      <c r="E73" s="588">
        <v>114.75</v>
      </c>
      <c r="F73" s="587">
        <f t="shared" si="23"/>
        <v>2180.25</v>
      </c>
      <c r="G73" s="588">
        <v>20</v>
      </c>
      <c r="H73" s="587">
        <f t="shared" si="24"/>
        <v>380</v>
      </c>
      <c r="I73" s="588">
        <f t="shared" si="25"/>
        <v>2560.25</v>
      </c>
      <c r="J73" s="597"/>
      <c r="L73" s="436">
        <v>150</v>
      </c>
      <c r="M73" s="445">
        <f t="shared" si="27"/>
        <v>81.967213114754088</v>
      </c>
      <c r="O73" s="442" t="s">
        <v>801</v>
      </c>
      <c r="P73" s="9"/>
    </row>
    <row r="74" spans="1:21" s="433" customFormat="1">
      <c r="A74" s="582" t="s">
        <v>1525</v>
      </c>
      <c r="B74" s="677" t="s">
        <v>1403</v>
      </c>
      <c r="C74" s="1330">
        <v>1</v>
      </c>
      <c r="D74" s="664" t="s">
        <v>40</v>
      </c>
      <c r="E74" s="833">
        <f>ROUND((SUM(F69:F73)*10%),2)</f>
        <v>2824.76</v>
      </c>
      <c r="F74" s="587">
        <f t="shared" si="23"/>
        <v>2824.76</v>
      </c>
      <c r="G74" s="833">
        <f>ROUND((F74*30%),2)</f>
        <v>847.43</v>
      </c>
      <c r="H74" s="587">
        <f t="shared" si="24"/>
        <v>847.43</v>
      </c>
      <c r="I74" s="588">
        <f t="shared" si="25"/>
        <v>3672.19</v>
      </c>
      <c r="J74" s="597"/>
      <c r="L74" s="444"/>
      <c r="M74" s="444" t="s">
        <v>812</v>
      </c>
      <c r="O74" s="436">
        <v>105</v>
      </c>
      <c r="P74" s="445">
        <f>ROUND(O74/1.83,2)</f>
        <v>57.38</v>
      </c>
    </row>
    <row r="75" spans="1:21" s="433" customFormat="1">
      <c r="A75" s="598"/>
      <c r="B75" s="1331" t="s">
        <v>1393</v>
      </c>
      <c r="C75" s="1332"/>
      <c r="D75" s="630"/>
      <c r="E75" s="565"/>
      <c r="F75" s="631"/>
      <c r="G75" s="565"/>
      <c r="H75" s="631"/>
      <c r="I75" s="603">
        <f>SUM(I69:I74)</f>
        <v>38545.75</v>
      </c>
      <c r="J75" s="604"/>
      <c r="L75" s="444"/>
      <c r="M75" s="444"/>
      <c r="O75" s="436"/>
      <c r="P75" s="445"/>
    </row>
    <row r="76" spans="1:21" s="434" customFormat="1">
      <c r="A76" s="574" t="s">
        <v>837</v>
      </c>
      <c r="B76" s="575" t="s">
        <v>827</v>
      </c>
      <c r="C76" s="576"/>
      <c r="D76" s="617"/>
      <c r="E76" s="618"/>
      <c r="F76" s="579"/>
      <c r="G76" s="618"/>
      <c r="H76" s="579"/>
      <c r="I76" s="580"/>
      <c r="J76" s="619"/>
      <c r="K76" s="433"/>
      <c r="L76" s="434">
        <v>13</v>
      </c>
      <c r="M76" s="436">
        <v>970.1</v>
      </c>
      <c r="N76" s="445">
        <f>M76/4</f>
        <v>242.52500000000001</v>
      </c>
      <c r="O76" s="436">
        <v>120</v>
      </c>
      <c r="P76" s="445">
        <f t="shared" ref="P76:P82" si="28">ROUND(O76/1.83,2)</f>
        <v>65.569999999999993</v>
      </c>
      <c r="Q76" s="433"/>
      <c r="R76" s="433"/>
      <c r="S76" s="433"/>
      <c r="T76" s="433"/>
      <c r="U76" s="433"/>
    </row>
    <row r="77" spans="1:21" s="434" customFormat="1">
      <c r="A77" s="620" t="s">
        <v>1520</v>
      </c>
      <c r="B77" s="621" t="s">
        <v>827</v>
      </c>
      <c r="C77" s="622">
        <v>1</v>
      </c>
      <c r="D77" s="623" t="s">
        <v>40</v>
      </c>
      <c r="E77" s="624">
        <v>5000</v>
      </c>
      <c r="F77" s="625">
        <f t="shared" ref="F77" si="29">ROUND(C77*E77,2)</f>
        <v>5000</v>
      </c>
      <c r="G77" s="624">
        <f t="shared" ref="G77" si="30">ROUND((F77*30%),2)</f>
        <v>1500</v>
      </c>
      <c r="H77" s="625">
        <f t="shared" ref="H77" si="31">ROUND(C77*G77,2)</f>
        <v>1500</v>
      </c>
      <c r="I77" s="626">
        <f t="shared" ref="I77" si="32">H77+F77</f>
        <v>6500</v>
      </c>
      <c r="J77" s="627" t="s">
        <v>828</v>
      </c>
      <c r="K77" s="433"/>
      <c r="M77" s="9"/>
      <c r="N77" s="502"/>
      <c r="O77" s="436"/>
      <c r="P77" s="445"/>
      <c r="Q77" s="433"/>
      <c r="R77" s="433"/>
      <c r="S77" s="433"/>
      <c r="T77" s="433"/>
      <c r="U77" s="433"/>
    </row>
    <row r="78" spans="1:21" s="434" customFormat="1">
      <c r="A78" s="598"/>
      <c r="B78" s="628" t="s">
        <v>1394</v>
      </c>
      <c r="C78" s="629"/>
      <c r="D78" s="630"/>
      <c r="E78" s="565"/>
      <c r="F78" s="631"/>
      <c r="G78" s="565"/>
      <c r="H78" s="631"/>
      <c r="I78" s="603">
        <f>SUM(I77)</f>
        <v>6500</v>
      </c>
      <c r="J78" s="632"/>
      <c r="K78" s="433"/>
      <c r="M78" s="9"/>
      <c r="N78" s="502"/>
      <c r="O78" s="436"/>
      <c r="P78" s="445"/>
      <c r="Q78" s="433"/>
      <c r="R78" s="433"/>
      <c r="S78" s="433"/>
      <c r="T78" s="433"/>
      <c r="U78" s="433"/>
    </row>
    <row r="79" spans="1:21" s="434" customFormat="1">
      <c r="A79" s="605"/>
      <c r="B79" s="633" t="s">
        <v>1313</v>
      </c>
      <c r="C79" s="634"/>
      <c r="D79" s="635"/>
      <c r="E79" s="636"/>
      <c r="F79" s="637"/>
      <c r="G79" s="636"/>
      <c r="H79" s="637"/>
      <c r="I79" s="610">
        <f>I32+I44+I56+I67+I75+I78</f>
        <v>523698.10000000003</v>
      </c>
      <c r="J79" s="638"/>
      <c r="K79" s="433"/>
      <c r="M79" s="9"/>
      <c r="N79" s="502"/>
      <c r="O79" s="436"/>
      <c r="P79" s="445"/>
      <c r="Q79" s="433"/>
      <c r="R79" s="433"/>
      <c r="S79" s="433"/>
      <c r="T79" s="433"/>
      <c r="U79" s="433"/>
    </row>
    <row r="80" spans="1:21" s="433" customFormat="1">
      <c r="A80" s="568" t="s">
        <v>838</v>
      </c>
      <c r="B80" s="639" t="s">
        <v>594</v>
      </c>
      <c r="C80" s="572"/>
      <c r="D80" s="571"/>
      <c r="E80" s="572"/>
      <c r="F80" s="572"/>
      <c r="G80" s="572"/>
      <c r="H80" s="572"/>
      <c r="I80" s="572"/>
      <c r="J80" s="640"/>
      <c r="O80" s="436">
        <v>140</v>
      </c>
      <c r="P80" s="445">
        <f t="shared" si="28"/>
        <v>76.5</v>
      </c>
    </row>
    <row r="81" spans="1:19" s="433" customFormat="1">
      <c r="A81" s="582" t="s">
        <v>839</v>
      </c>
      <c r="B81" s="614" t="s">
        <v>829</v>
      </c>
      <c r="C81" s="588">
        <v>1</v>
      </c>
      <c r="D81" s="664" t="s">
        <v>40</v>
      </c>
      <c r="E81" s="658">
        <v>0</v>
      </c>
      <c r="F81" s="587">
        <f>ROUND(C81*E81,2)</f>
        <v>0</v>
      </c>
      <c r="G81" s="658">
        <v>2000</v>
      </c>
      <c r="H81" s="587">
        <f>ROUND(C81*G81,2)</f>
        <v>2000</v>
      </c>
      <c r="I81" s="588">
        <f t="shared" ref="I81" si="33">H81+F81</f>
        <v>2000</v>
      </c>
      <c r="J81" s="861"/>
      <c r="O81" s="436">
        <v>150</v>
      </c>
      <c r="P81" s="445">
        <f t="shared" si="28"/>
        <v>81.97</v>
      </c>
    </row>
    <row r="82" spans="1:19" ht="26.25" customHeight="1">
      <c r="A82" s="641"/>
      <c r="B82" s="642" t="s">
        <v>1305</v>
      </c>
      <c r="C82" s="636"/>
      <c r="D82" s="636"/>
      <c r="E82" s="643"/>
      <c r="F82" s="643"/>
      <c r="G82" s="643"/>
      <c r="H82" s="643"/>
      <c r="I82" s="644">
        <f>SUM(I81)</f>
        <v>2000</v>
      </c>
      <c r="J82" s="553"/>
      <c r="O82" s="436">
        <v>210</v>
      </c>
      <c r="P82" s="445">
        <f t="shared" si="28"/>
        <v>114.75</v>
      </c>
      <c r="Q82" s="433"/>
      <c r="R82" s="446">
        <f>O84*Q84</f>
        <v>4850.5</v>
      </c>
      <c r="S82" s="433"/>
    </row>
    <row r="83" spans="1:19" ht="26.25" customHeight="1">
      <c r="A83" s="525">
        <v>6.2</v>
      </c>
      <c r="B83" s="645" t="s">
        <v>103</v>
      </c>
      <c r="C83" s="646"/>
      <c r="D83" s="646"/>
      <c r="E83" s="647"/>
      <c r="F83" s="647"/>
      <c r="G83" s="647"/>
      <c r="H83" s="647"/>
      <c r="I83" s="647"/>
      <c r="J83" s="527"/>
      <c r="O83" s="434"/>
      <c r="P83" s="433"/>
      <c r="Q83" s="433"/>
      <c r="R83" s="433"/>
    </row>
    <row r="84" spans="1:19" s="434" customFormat="1">
      <c r="A84" s="568" t="s">
        <v>782</v>
      </c>
      <c r="B84" s="569" t="s">
        <v>840</v>
      </c>
      <c r="C84" s="648"/>
      <c r="D84" s="649"/>
      <c r="E84" s="649"/>
      <c r="F84" s="650"/>
      <c r="G84" s="650"/>
      <c r="H84" s="650"/>
      <c r="I84" s="650"/>
      <c r="J84" s="651"/>
      <c r="O84" s="434">
        <v>20</v>
      </c>
      <c r="P84" s="436">
        <v>970.1</v>
      </c>
      <c r="Q84" s="445">
        <f>P84/4</f>
        <v>242.52500000000001</v>
      </c>
      <c r="R84" s="433"/>
      <c r="S84" s="1"/>
    </row>
    <row r="85" spans="1:19" s="434" customFormat="1">
      <c r="A85" s="574" t="s">
        <v>841</v>
      </c>
      <c r="B85" s="613" t="s">
        <v>842</v>
      </c>
      <c r="C85" s="652"/>
      <c r="D85" s="653"/>
      <c r="E85" s="653"/>
      <c r="F85" s="654"/>
      <c r="G85" s="654"/>
      <c r="H85" s="654"/>
      <c r="I85" s="654"/>
      <c r="J85" s="655"/>
      <c r="P85" s="9"/>
      <c r="Q85" s="502"/>
      <c r="R85" s="433"/>
      <c r="S85" s="1"/>
    </row>
    <row r="86" spans="1:19" s="433" customFormat="1">
      <c r="A86" s="582" t="s">
        <v>1526</v>
      </c>
      <c r="B86" s="614" t="s">
        <v>842</v>
      </c>
      <c r="C86" s="656">
        <v>1</v>
      </c>
      <c r="D86" s="657" t="s">
        <v>37</v>
      </c>
      <c r="E86" s="1341">
        <v>1790</v>
      </c>
      <c r="F86" s="587">
        <f>ROUND(C86*E86,2)</f>
        <v>1790</v>
      </c>
      <c r="G86" s="658">
        <v>345</v>
      </c>
      <c r="H86" s="587">
        <f>ROUND(C86*G86,2)</f>
        <v>345</v>
      </c>
      <c r="I86" s="588">
        <f t="shared" ref="I86" si="34">H86+F86</f>
        <v>2135</v>
      </c>
      <c r="J86" s="597"/>
      <c r="L86" s="433" t="s">
        <v>843</v>
      </c>
      <c r="O86" s="434"/>
      <c r="R86" s="1"/>
      <c r="S86" s="434"/>
    </row>
    <row r="87" spans="1:19" s="433" customFormat="1">
      <c r="A87" s="598"/>
      <c r="B87" s="659" t="s">
        <v>1395</v>
      </c>
      <c r="C87" s="660"/>
      <c r="D87" s="661"/>
      <c r="E87" s="1342"/>
      <c r="F87" s="631"/>
      <c r="G87" s="662"/>
      <c r="H87" s="631"/>
      <c r="I87" s="603">
        <f>SUM(I86)</f>
        <v>2135</v>
      </c>
      <c r="J87" s="604"/>
      <c r="O87" s="434"/>
      <c r="R87" s="1"/>
      <c r="S87" s="434"/>
    </row>
    <row r="88" spans="1:19" s="433" customFormat="1">
      <c r="A88" s="574" t="s">
        <v>844</v>
      </c>
      <c r="B88" s="593" t="s">
        <v>845</v>
      </c>
      <c r="C88" s="576"/>
      <c r="D88" s="577"/>
      <c r="E88" s="580"/>
      <c r="F88" s="579"/>
      <c r="G88" s="580"/>
      <c r="H88" s="579"/>
      <c r="I88" s="580"/>
      <c r="J88" s="593"/>
      <c r="L88" s="442"/>
      <c r="O88" s="434"/>
      <c r="R88" s="1"/>
    </row>
    <row r="89" spans="1:19" s="433" customFormat="1">
      <c r="A89" s="582" t="s">
        <v>1527</v>
      </c>
      <c r="B89" s="597" t="s">
        <v>846</v>
      </c>
      <c r="C89" s="584">
        <v>1</v>
      </c>
      <c r="D89" s="585" t="s">
        <v>771</v>
      </c>
      <c r="E89" s="1341">
        <f>923+1690</f>
        <v>2613</v>
      </c>
      <c r="F89" s="587">
        <f t="shared" ref="F89:F90" si="35">ROUND(C89*E89,2)</f>
        <v>2613</v>
      </c>
      <c r="G89" s="588">
        <v>450</v>
      </c>
      <c r="H89" s="587">
        <f t="shared" ref="H89:H90" si="36">ROUND(C89*G89,2)</f>
        <v>450</v>
      </c>
      <c r="I89" s="588">
        <f t="shared" ref="I89:I90" si="37">H89+F89</f>
        <v>3063</v>
      </c>
      <c r="J89" s="597"/>
      <c r="L89" s="442"/>
      <c r="O89" s="1"/>
      <c r="P89" s="1"/>
      <c r="Q89" s="1"/>
      <c r="R89" s="434"/>
    </row>
    <row r="90" spans="1:19" s="433" customFormat="1">
      <c r="A90" s="582" t="s">
        <v>1528</v>
      </c>
      <c r="B90" s="597" t="s">
        <v>847</v>
      </c>
      <c r="C90" s="584">
        <v>2</v>
      </c>
      <c r="D90" s="585" t="s">
        <v>771</v>
      </c>
      <c r="E90" s="1341">
        <f>1040+2080</f>
        <v>3120</v>
      </c>
      <c r="F90" s="587">
        <f t="shared" si="35"/>
        <v>6240</v>
      </c>
      <c r="G90" s="588">
        <v>450</v>
      </c>
      <c r="H90" s="587">
        <f t="shared" si="36"/>
        <v>900</v>
      </c>
      <c r="I90" s="588">
        <f t="shared" si="37"/>
        <v>7140</v>
      </c>
      <c r="J90" s="597"/>
      <c r="L90" s="442"/>
      <c r="O90" s="1"/>
      <c r="P90" s="1"/>
      <c r="Q90" s="1"/>
    </row>
    <row r="91" spans="1:19" s="433" customFormat="1">
      <c r="A91" s="598"/>
      <c r="B91" s="659" t="s">
        <v>1396</v>
      </c>
      <c r="C91" s="629"/>
      <c r="D91" s="663"/>
      <c r="E91" s="1342"/>
      <c r="F91" s="631"/>
      <c r="G91" s="600"/>
      <c r="H91" s="631"/>
      <c r="I91" s="603">
        <f>SUM(I89:I90)</f>
        <v>10203</v>
      </c>
      <c r="J91" s="604"/>
      <c r="L91" s="442"/>
      <c r="O91" s="1"/>
      <c r="P91" s="1"/>
      <c r="Q91" s="1"/>
    </row>
    <row r="92" spans="1:19" s="433" customFormat="1">
      <c r="A92" s="574" t="s">
        <v>848</v>
      </c>
      <c r="B92" s="593" t="s">
        <v>849</v>
      </c>
      <c r="C92" s="576"/>
      <c r="D92" s="577"/>
      <c r="E92" s="580"/>
      <c r="F92" s="579"/>
      <c r="G92" s="580"/>
      <c r="H92" s="579"/>
      <c r="I92" s="580"/>
      <c r="J92" s="593"/>
      <c r="L92" s="443"/>
      <c r="M92" s="442"/>
      <c r="O92" s="434"/>
      <c r="P92" s="434"/>
      <c r="Q92" s="434"/>
    </row>
    <row r="93" spans="1:19" s="433" customFormat="1">
      <c r="A93" s="582" t="s">
        <v>1529</v>
      </c>
      <c r="B93" s="597" t="s">
        <v>850</v>
      </c>
      <c r="C93" s="584">
        <v>8</v>
      </c>
      <c r="D93" s="585" t="s">
        <v>771</v>
      </c>
      <c r="E93" s="1341">
        <v>1397.5</v>
      </c>
      <c r="F93" s="587">
        <f t="shared" ref="F93:F97" si="38">ROUND(C93*E93,2)</f>
        <v>11180</v>
      </c>
      <c r="G93" s="588">
        <v>650</v>
      </c>
      <c r="H93" s="587">
        <f t="shared" ref="H93:H97" si="39">ROUND(C93*G93,2)</f>
        <v>5200</v>
      </c>
      <c r="I93" s="588">
        <f t="shared" ref="I93:I97" si="40">H93+F93</f>
        <v>16380</v>
      </c>
      <c r="J93" s="597"/>
      <c r="M93" s="442"/>
      <c r="O93" s="215">
        <v>1360</v>
      </c>
    </row>
    <row r="94" spans="1:19" s="433" customFormat="1">
      <c r="A94" s="582" t="s">
        <v>1530</v>
      </c>
      <c r="B94" s="597" t="s">
        <v>851</v>
      </c>
      <c r="C94" s="584">
        <v>4</v>
      </c>
      <c r="D94" s="585" t="s">
        <v>771</v>
      </c>
      <c r="E94" s="1341">
        <v>2795</v>
      </c>
      <c r="F94" s="587">
        <f t="shared" si="38"/>
        <v>11180</v>
      </c>
      <c r="G94" s="588">
        <v>650</v>
      </c>
      <c r="H94" s="587">
        <f t="shared" si="39"/>
        <v>2600</v>
      </c>
      <c r="I94" s="588">
        <f t="shared" si="40"/>
        <v>13780</v>
      </c>
      <c r="J94" s="597"/>
      <c r="M94" s="442"/>
    </row>
    <row r="95" spans="1:19" s="433" customFormat="1">
      <c r="A95" s="582" t="s">
        <v>1531</v>
      </c>
      <c r="B95" s="597" t="s">
        <v>852</v>
      </c>
      <c r="C95" s="584">
        <v>2</v>
      </c>
      <c r="D95" s="585" t="s">
        <v>771</v>
      </c>
      <c r="E95" s="1341">
        <v>3055</v>
      </c>
      <c r="F95" s="587">
        <f t="shared" si="38"/>
        <v>6110</v>
      </c>
      <c r="G95" s="588">
        <v>650</v>
      </c>
      <c r="H95" s="587">
        <f t="shared" si="39"/>
        <v>1300</v>
      </c>
      <c r="I95" s="588">
        <f t="shared" si="40"/>
        <v>7410</v>
      </c>
      <c r="J95" s="597"/>
      <c r="M95" s="442"/>
    </row>
    <row r="96" spans="1:19" s="433" customFormat="1">
      <c r="A96" s="582" t="s">
        <v>1532</v>
      </c>
      <c r="B96" s="597" t="s">
        <v>853</v>
      </c>
      <c r="C96" s="584">
        <v>1</v>
      </c>
      <c r="D96" s="585" t="s">
        <v>771</v>
      </c>
      <c r="E96" s="1341">
        <v>4420</v>
      </c>
      <c r="F96" s="587">
        <f t="shared" si="38"/>
        <v>4420</v>
      </c>
      <c r="G96" s="588">
        <v>650</v>
      </c>
      <c r="H96" s="587">
        <f t="shared" si="39"/>
        <v>650</v>
      </c>
      <c r="I96" s="588">
        <f t="shared" si="40"/>
        <v>5070</v>
      </c>
      <c r="J96" s="597"/>
      <c r="M96" s="442"/>
    </row>
    <row r="97" spans="1:19" s="433" customFormat="1">
      <c r="A97" s="582" t="s">
        <v>1533</v>
      </c>
      <c r="B97" s="597" t="s">
        <v>854</v>
      </c>
      <c r="C97" s="584">
        <v>1</v>
      </c>
      <c r="D97" s="585" t="s">
        <v>771</v>
      </c>
      <c r="E97" s="1341">
        <v>5005</v>
      </c>
      <c r="F97" s="587">
        <f t="shared" si="38"/>
        <v>5005</v>
      </c>
      <c r="G97" s="588">
        <v>650</v>
      </c>
      <c r="H97" s="587">
        <f t="shared" si="39"/>
        <v>650</v>
      </c>
      <c r="I97" s="588">
        <f t="shared" si="40"/>
        <v>5655</v>
      </c>
      <c r="J97" s="597"/>
      <c r="M97" s="442"/>
    </row>
    <row r="98" spans="1:19" s="433" customFormat="1">
      <c r="A98" s="598"/>
      <c r="B98" s="659" t="s">
        <v>1397</v>
      </c>
      <c r="C98" s="629"/>
      <c r="D98" s="663"/>
      <c r="E98" s="1342"/>
      <c r="F98" s="631"/>
      <c r="G98" s="600"/>
      <c r="H98" s="631"/>
      <c r="I98" s="603">
        <f>SUM(I93:I97)</f>
        <v>48295</v>
      </c>
      <c r="J98" s="604"/>
      <c r="M98" s="442"/>
    </row>
    <row r="99" spans="1:19" s="433" customFormat="1">
      <c r="A99" s="574" t="s">
        <v>855</v>
      </c>
      <c r="B99" s="613" t="s">
        <v>856</v>
      </c>
      <c r="C99" s="576"/>
      <c r="D99" s="577"/>
      <c r="E99" s="580"/>
      <c r="F99" s="579"/>
      <c r="G99" s="580"/>
      <c r="H99" s="579"/>
      <c r="I99" s="580"/>
      <c r="J99" s="593"/>
      <c r="L99" s="443"/>
      <c r="M99" s="442"/>
    </row>
    <row r="100" spans="1:19" s="433" customFormat="1">
      <c r="A100" s="582" t="s">
        <v>1534</v>
      </c>
      <c r="B100" s="597" t="s">
        <v>857</v>
      </c>
      <c r="C100" s="584">
        <v>2</v>
      </c>
      <c r="D100" s="585" t="s">
        <v>771</v>
      </c>
      <c r="E100" s="1341">
        <v>4842.5</v>
      </c>
      <c r="F100" s="587">
        <f t="shared" ref="F100:F101" si="41">ROUND(C100*E100,2)</f>
        <v>9685</v>
      </c>
      <c r="G100" s="588">
        <v>1000</v>
      </c>
      <c r="H100" s="587">
        <f t="shared" ref="H100:H105" si="42">ROUND(C100*G100,2)</f>
        <v>2000</v>
      </c>
      <c r="I100" s="588">
        <f t="shared" ref="I100:I105" si="43">H100+F100</f>
        <v>11685</v>
      </c>
      <c r="J100" s="597"/>
    </row>
    <row r="101" spans="1:19" s="433" customFormat="1">
      <c r="A101" s="582" t="s">
        <v>1535</v>
      </c>
      <c r="B101" s="597" t="s">
        <v>858</v>
      </c>
      <c r="C101" s="584">
        <v>2</v>
      </c>
      <c r="D101" s="585" t="s">
        <v>771</v>
      </c>
      <c r="E101" s="1341">
        <v>5395</v>
      </c>
      <c r="F101" s="587">
        <f t="shared" si="41"/>
        <v>10790</v>
      </c>
      <c r="G101" s="588">
        <v>1000</v>
      </c>
      <c r="H101" s="587">
        <f t="shared" si="42"/>
        <v>2000</v>
      </c>
      <c r="I101" s="588">
        <f t="shared" si="43"/>
        <v>12790</v>
      </c>
      <c r="J101" s="597"/>
    </row>
    <row r="102" spans="1:19" s="433" customFormat="1">
      <c r="A102" s="598"/>
      <c r="B102" s="659" t="s">
        <v>1398</v>
      </c>
      <c r="C102" s="629"/>
      <c r="D102" s="663"/>
      <c r="E102" s="1342"/>
      <c r="F102" s="631"/>
      <c r="G102" s="600"/>
      <c r="H102" s="631"/>
      <c r="I102" s="603">
        <f>SUM(I100:I101)</f>
        <v>24475</v>
      </c>
      <c r="J102" s="604"/>
    </row>
    <row r="103" spans="1:19" s="433" customFormat="1">
      <c r="A103" s="582" t="s">
        <v>859</v>
      </c>
      <c r="B103" s="597" t="s">
        <v>860</v>
      </c>
      <c r="C103" s="584">
        <v>1</v>
      </c>
      <c r="D103" s="585" t="s">
        <v>40</v>
      </c>
      <c r="E103" s="865">
        <v>6901.3</v>
      </c>
      <c r="F103" s="587">
        <f t="shared" ref="F103:F105" si="44">ROUND(C103*E103,2)</f>
        <v>6901.3</v>
      </c>
      <c r="G103" s="865">
        <f>ROUND((F103*30%),2)</f>
        <v>2070.39</v>
      </c>
      <c r="H103" s="587">
        <f t="shared" si="42"/>
        <v>2070.39</v>
      </c>
      <c r="I103" s="588">
        <f t="shared" si="43"/>
        <v>8971.69</v>
      </c>
      <c r="J103" s="597"/>
      <c r="L103" s="443"/>
    </row>
    <row r="104" spans="1:19" s="433" customFormat="1">
      <c r="A104" s="582" t="s">
        <v>861</v>
      </c>
      <c r="B104" s="583" t="s">
        <v>862</v>
      </c>
      <c r="C104" s="584">
        <v>1</v>
      </c>
      <c r="D104" s="585" t="s">
        <v>40</v>
      </c>
      <c r="E104" s="865">
        <v>17253.25</v>
      </c>
      <c r="F104" s="587">
        <f t="shared" si="44"/>
        <v>17253.25</v>
      </c>
      <c r="G104" s="865">
        <f>ROUND((F104*30%),2)</f>
        <v>5175.9799999999996</v>
      </c>
      <c r="H104" s="587">
        <f t="shared" si="42"/>
        <v>5175.9799999999996</v>
      </c>
      <c r="I104" s="588">
        <f t="shared" si="43"/>
        <v>22429.23</v>
      </c>
      <c r="J104" s="597"/>
      <c r="L104" s="443"/>
    </row>
    <row r="105" spans="1:19" s="433" customFormat="1">
      <c r="A105" s="582" t="s">
        <v>863</v>
      </c>
      <c r="B105" s="614" t="s">
        <v>864</v>
      </c>
      <c r="C105" s="588">
        <v>3</v>
      </c>
      <c r="D105" s="664" t="s">
        <v>37</v>
      </c>
      <c r="E105" s="588">
        <v>2940</v>
      </c>
      <c r="F105" s="587">
        <f t="shared" si="44"/>
        <v>8820</v>
      </c>
      <c r="G105" s="658">
        <v>200</v>
      </c>
      <c r="H105" s="587">
        <f t="shared" si="42"/>
        <v>600</v>
      </c>
      <c r="I105" s="588">
        <f t="shared" si="43"/>
        <v>9420</v>
      </c>
      <c r="J105" s="597"/>
      <c r="L105" s="443"/>
    </row>
    <row r="106" spans="1:19" s="433" customFormat="1">
      <c r="A106" s="605"/>
      <c r="B106" s="665" t="s">
        <v>1314</v>
      </c>
      <c r="C106" s="607"/>
      <c r="D106" s="635"/>
      <c r="E106" s="607"/>
      <c r="F106" s="637"/>
      <c r="G106" s="666"/>
      <c r="H106" s="637"/>
      <c r="I106" s="610">
        <f>I87+I91+I98+I102+I103+I104+I105</f>
        <v>125928.92</v>
      </c>
      <c r="J106" s="611"/>
      <c r="L106" s="443"/>
    </row>
    <row r="107" spans="1:19" s="433" customFormat="1">
      <c r="A107" s="568" t="s">
        <v>787</v>
      </c>
      <c r="B107" s="639" t="s">
        <v>865</v>
      </c>
      <c r="C107" s="572"/>
      <c r="D107" s="571"/>
      <c r="E107" s="572"/>
      <c r="F107" s="572"/>
      <c r="G107" s="572"/>
      <c r="H107" s="572"/>
      <c r="I107" s="572"/>
      <c r="J107" s="640"/>
    </row>
    <row r="108" spans="1:19" s="433" customFormat="1">
      <c r="A108" s="574" t="s">
        <v>866</v>
      </c>
      <c r="B108" s="613" t="s">
        <v>867</v>
      </c>
      <c r="C108" s="580"/>
      <c r="D108" s="577"/>
      <c r="E108" s="580"/>
      <c r="F108" s="580"/>
      <c r="G108" s="580"/>
      <c r="H108" s="580"/>
      <c r="I108" s="580"/>
      <c r="J108" s="593"/>
      <c r="L108" s="434"/>
      <c r="M108" s="434"/>
      <c r="N108" s="434"/>
    </row>
    <row r="109" spans="1:19" s="7" customFormat="1" ht="26.25" customHeight="1">
      <c r="A109" s="667" t="s">
        <v>1536</v>
      </c>
      <c r="B109" s="614" t="s">
        <v>868</v>
      </c>
      <c r="C109" s="668">
        <v>378.81</v>
      </c>
      <c r="D109" s="669" t="s">
        <v>869</v>
      </c>
      <c r="E109" s="670">
        <v>23.91</v>
      </c>
      <c r="F109" s="587">
        <f t="shared" ref="F109:F111" si="45">ROUND(C109*E109,2)</f>
        <v>9057.35</v>
      </c>
      <c r="G109" s="671">
        <v>18</v>
      </c>
      <c r="H109" s="587">
        <f t="shared" ref="H109:H111" si="46">ROUND(C109*G109,2)</f>
        <v>6818.58</v>
      </c>
      <c r="I109" s="588">
        <f t="shared" ref="I109:I111" si="47">H109+F109</f>
        <v>15875.93</v>
      </c>
      <c r="J109" s="436"/>
      <c r="K109" s="433"/>
      <c r="L109" s="436">
        <v>765.18</v>
      </c>
      <c r="M109" s="445">
        <f>L109/32</f>
        <v>23.911874999999998</v>
      </c>
      <c r="N109" s="7" t="s">
        <v>870</v>
      </c>
      <c r="O109" s="433"/>
      <c r="P109" s="433"/>
      <c r="Q109" s="433"/>
      <c r="R109" s="433"/>
      <c r="S109" s="433"/>
    </row>
    <row r="110" spans="1:19" s="7" customFormat="1" ht="26.25" customHeight="1">
      <c r="A110" s="667" t="s">
        <v>1537</v>
      </c>
      <c r="B110" s="614" t="s">
        <v>871</v>
      </c>
      <c r="C110" s="671">
        <v>83.05</v>
      </c>
      <c r="D110" s="669" t="s">
        <v>869</v>
      </c>
      <c r="E110" s="670">
        <v>27.84</v>
      </c>
      <c r="F110" s="587">
        <f t="shared" si="45"/>
        <v>2312.11</v>
      </c>
      <c r="G110" s="671">
        <v>24</v>
      </c>
      <c r="H110" s="587">
        <f t="shared" si="46"/>
        <v>1993.2</v>
      </c>
      <c r="I110" s="588">
        <f t="shared" si="47"/>
        <v>4305.3100000000004</v>
      </c>
      <c r="J110" s="436"/>
      <c r="L110" s="436">
        <v>891</v>
      </c>
      <c r="M110" s="445">
        <f>L110/32</f>
        <v>27.84375</v>
      </c>
      <c r="N110" s="7" t="s">
        <v>872</v>
      </c>
      <c r="O110" s="433"/>
      <c r="P110" s="433"/>
      <c r="Q110" s="433"/>
      <c r="R110" s="433"/>
    </row>
    <row r="111" spans="1:19" s="433" customFormat="1">
      <c r="A111" s="667" t="s">
        <v>1538</v>
      </c>
      <c r="B111" s="614" t="s">
        <v>1411</v>
      </c>
      <c r="C111" s="1343">
        <v>1</v>
      </c>
      <c r="D111" s="664" t="s">
        <v>40</v>
      </c>
      <c r="E111" s="658">
        <f>ROUND((SUM(F109:F110)*40%),2)</f>
        <v>4547.78</v>
      </c>
      <c r="F111" s="587">
        <f t="shared" si="45"/>
        <v>4547.78</v>
      </c>
      <c r="G111" s="658">
        <f>ROUND((F111*30%),2)</f>
        <v>1364.33</v>
      </c>
      <c r="H111" s="587">
        <f t="shared" si="46"/>
        <v>1364.33</v>
      </c>
      <c r="I111" s="588">
        <f t="shared" si="47"/>
        <v>5912.11</v>
      </c>
      <c r="J111" s="597"/>
      <c r="K111" s="7"/>
      <c r="L111" s="436"/>
      <c r="M111" s="445"/>
      <c r="N111" s="7"/>
      <c r="S111" s="7"/>
    </row>
    <row r="112" spans="1:19" s="433" customFormat="1">
      <c r="A112" s="598"/>
      <c r="B112" s="659" t="s">
        <v>1399</v>
      </c>
      <c r="C112" s="1344"/>
      <c r="D112" s="630"/>
      <c r="E112" s="662"/>
      <c r="F112" s="631"/>
      <c r="G112" s="662"/>
      <c r="H112" s="631"/>
      <c r="I112" s="603">
        <f>SUM(I109:I111)</f>
        <v>26093.350000000002</v>
      </c>
      <c r="J112" s="604"/>
      <c r="K112" s="7"/>
      <c r="L112" s="9"/>
      <c r="M112" s="502"/>
      <c r="N112" s="7"/>
      <c r="S112" s="7"/>
    </row>
    <row r="113" spans="1:19" s="433" customFormat="1">
      <c r="A113" s="574" t="s">
        <v>873</v>
      </c>
      <c r="B113" s="613" t="s">
        <v>874</v>
      </c>
      <c r="C113" s="672"/>
      <c r="D113" s="577"/>
      <c r="E113" s="580"/>
      <c r="F113" s="580"/>
      <c r="G113" s="580"/>
      <c r="H113" s="580"/>
      <c r="I113" s="580"/>
      <c r="J113" s="593"/>
      <c r="L113" s="443"/>
      <c r="R113" s="7"/>
    </row>
    <row r="114" spans="1:19" s="433" customFormat="1">
      <c r="A114" s="582" t="s">
        <v>1539</v>
      </c>
      <c r="B114" s="614" t="s">
        <v>875</v>
      </c>
      <c r="C114" s="673"/>
      <c r="D114" s="584"/>
      <c r="E114" s="588"/>
      <c r="F114" s="588"/>
      <c r="G114" s="588"/>
      <c r="H114" s="588"/>
      <c r="I114" s="588"/>
      <c r="J114" s="597"/>
      <c r="L114" s="433" t="s">
        <v>876</v>
      </c>
      <c r="M114" s="434" t="s">
        <v>877</v>
      </c>
      <c r="N114" s="434"/>
      <c r="O114" s="434"/>
      <c r="R114" s="7"/>
    </row>
    <row r="115" spans="1:19" s="433" customFormat="1">
      <c r="A115" s="582"/>
      <c r="B115" s="674" t="s">
        <v>878</v>
      </c>
      <c r="C115" s="675">
        <v>18</v>
      </c>
      <c r="D115" s="676" t="s">
        <v>879</v>
      </c>
      <c r="E115" s="664">
        <v>308</v>
      </c>
      <c r="F115" s="587">
        <f>ROUND(C115*E115,2)</f>
        <v>5544</v>
      </c>
      <c r="G115" s="664">
        <v>125</v>
      </c>
      <c r="H115" s="587">
        <f>ROUND(C115*G115,2)</f>
        <v>2250</v>
      </c>
      <c r="I115" s="588">
        <f t="shared" ref="I115" si="48">H115+F115</f>
        <v>7794</v>
      </c>
      <c r="J115" s="597"/>
      <c r="L115" s="433">
        <v>560</v>
      </c>
      <c r="M115" s="447">
        <f>L115-(L115*0.45)</f>
        <v>308</v>
      </c>
      <c r="O115" s="433">
        <v>32</v>
      </c>
    </row>
    <row r="116" spans="1:19" s="433" customFormat="1">
      <c r="A116" s="582" t="s">
        <v>1540</v>
      </c>
      <c r="B116" s="677" t="s">
        <v>880</v>
      </c>
      <c r="C116" s="673"/>
      <c r="D116" s="664"/>
      <c r="E116" s="588"/>
      <c r="F116" s="588"/>
      <c r="G116" s="588"/>
      <c r="H116" s="588"/>
      <c r="I116" s="588"/>
      <c r="J116" s="597"/>
      <c r="M116" s="447"/>
      <c r="O116" s="7">
        <v>765.18</v>
      </c>
      <c r="P116" s="7">
        <f>O116/O115</f>
        <v>23.911874999999998</v>
      </c>
      <c r="Q116" s="7"/>
    </row>
    <row r="117" spans="1:19" s="433" customFormat="1">
      <c r="A117" s="582"/>
      <c r="B117" s="674" t="s">
        <v>878</v>
      </c>
      <c r="C117" s="675">
        <v>12</v>
      </c>
      <c r="D117" s="676" t="s">
        <v>879</v>
      </c>
      <c r="E117" s="588">
        <v>181.5</v>
      </c>
      <c r="F117" s="587">
        <f t="shared" ref="F117:F121" si="49">ROUND(C117*E117,2)</f>
        <v>2178</v>
      </c>
      <c r="G117" s="664">
        <v>125</v>
      </c>
      <c r="H117" s="587">
        <f t="shared" ref="H117:H121" si="50">ROUND(C117*G117,2)</f>
        <v>1500</v>
      </c>
      <c r="I117" s="588">
        <f t="shared" ref="I117:I121" si="51">H117+F117</f>
        <v>3678</v>
      </c>
      <c r="J117" s="597"/>
      <c r="L117" s="433">
        <v>330</v>
      </c>
      <c r="M117" s="447">
        <f t="shared" ref="M117:M120" si="52">L117-(L117*0.45)</f>
        <v>181.5</v>
      </c>
      <c r="O117" s="7"/>
      <c r="P117" s="7"/>
      <c r="Q117" s="7"/>
    </row>
    <row r="118" spans="1:19" s="433" customFormat="1">
      <c r="A118" s="582"/>
      <c r="B118" s="674" t="s">
        <v>881</v>
      </c>
      <c r="C118" s="675">
        <v>1</v>
      </c>
      <c r="D118" s="676" t="s">
        <v>879</v>
      </c>
      <c r="E118" s="664">
        <v>254.65</v>
      </c>
      <c r="F118" s="587">
        <f t="shared" si="49"/>
        <v>254.65</v>
      </c>
      <c r="G118" s="664">
        <v>125</v>
      </c>
      <c r="H118" s="587">
        <f t="shared" si="50"/>
        <v>125</v>
      </c>
      <c r="I118" s="588">
        <f t="shared" si="51"/>
        <v>379.65</v>
      </c>
      <c r="J118" s="597"/>
      <c r="L118" s="433">
        <v>463</v>
      </c>
      <c r="M118" s="447">
        <f t="shared" si="52"/>
        <v>254.65</v>
      </c>
    </row>
    <row r="119" spans="1:19" s="433" customFormat="1">
      <c r="A119" s="582"/>
      <c r="B119" s="674" t="s">
        <v>882</v>
      </c>
      <c r="C119" s="675">
        <v>2</v>
      </c>
      <c r="D119" s="676" t="s">
        <v>879</v>
      </c>
      <c r="E119" s="664">
        <v>215.6</v>
      </c>
      <c r="F119" s="587">
        <f t="shared" si="49"/>
        <v>431.2</v>
      </c>
      <c r="G119" s="664">
        <v>150</v>
      </c>
      <c r="H119" s="587">
        <f t="shared" si="50"/>
        <v>300</v>
      </c>
      <c r="I119" s="588">
        <f t="shared" si="51"/>
        <v>731.2</v>
      </c>
      <c r="J119" s="597"/>
      <c r="L119" s="433">
        <v>392</v>
      </c>
      <c r="M119" s="447">
        <f t="shared" si="52"/>
        <v>215.6</v>
      </c>
      <c r="O119" s="434"/>
    </row>
    <row r="120" spans="1:19" s="433" customFormat="1">
      <c r="A120" s="582"/>
      <c r="B120" s="674" t="s">
        <v>883</v>
      </c>
      <c r="C120" s="675">
        <v>2</v>
      </c>
      <c r="D120" s="676" t="s">
        <v>879</v>
      </c>
      <c r="E120" s="664">
        <v>398.2</v>
      </c>
      <c r="F120" s="587">
        <f t="shared" si="49"/>
        <v>796.4</v>
      </c>
      <c r="G120" s="664">
        <v>150</v>
      </c>
      <c r="H120" s="587">
        <f t="shared" si="50"/>
        <v>300</v>
      </c>
      <c r="I120" s="588">
        <f t="shared" si="51"/>
        <v>1096.4000000000001</v>
      </c>
      <c r="J120" s="597"/>
      <c r="L120" s="433">
        <v>724</v>
      </c>
      <c r="M120" s="447">
        <f t="shared" si="52"/>
        <v>398.2</v>
      </c>
    </row>
    <row r="121" spans="1:19" s="433" customFormat="1">
      <c r="A121" s="582"/>
      <c r="B121" s="583" t="s">
        <v>884</v>
      </c>
      <c r="C121" s="584">
        <v>2</v>
      </c>
      <c r="D121" s="584" t="s">
        <v>37</v>
      </c>
      <c r="E121" s="588">
        <v>480</v>
      </c>
      <c r="F121" s="587">
        <f t="shared" si="49"/>
        <v>960</v>
      </c>
      <c r="G121" s="588">
        <v>50</v>
      </c>
      <c r="H121" s="587">
        <f t="shared" si="50"/>
        <v>100</v>
      </c>
      <c r="I121" s="588">
        <f t="shared" si="51"/>
        <v>1060</v>
      </c>
      <c r="J121" s="597"/>
      <c r="O121" s="448">
        <v>640.5</v>
      </c>
      <c r="P121" s="447">
        <f>O121/C115</f>
        <v>35.583333333333336</v>
      </c>
    </row>
    <row r="122" spans="1:19" s="433" customFormat="1">
      <c r="A122" s="598"/>
      <c r="B122" s="628" t="s">
        <v>1400</v>
      </c>
      <c r="C122" s="629"/>
      <c r="D122" s="629"/>
      <c r="E122" s="600"/>
      <c r="F122" s="631"/>
      <c r="G122" s="600"/>
      <c r="H122" s="631"/>
      <c r="I122" s="603">
        <f>SUM(I114:I121)</f>
        <v>14739.25</v>
      </c>
      <c r="J122" s="604"/>
      <c r="O122" s="448"/>
      <c r="P122" s="447"/>
    </row>
    <row r="123" spans="1:19" s="433" customFormat="1">
      <c r="A123" s="605"/>
      <c r="B123" s="633" t="s">
        <v>1315</v>
      </c>
      <c r="C123" s="634"/>
      <c r="D123" s="634"/>
      <c r="E123" s="607"/>
      <c r="F123" s="637"/>
      <c r="G123" s="607"/>
      <c r="H123" s="637"/>
      <c r="I123" s="610">
        <f>I112+I122</f>
        <v>40832.600000000006</v>
      </c>
      <c r="J123" s="611"/>
      <c r="O123" s="448"/>
      <c r="P123" s="447"/>
    </row>
    <row r="124" spans="1:19" s="433" customFormat="1">
      <c r="A124" s="568" t="s">
        <v>799</v>
      </c>
      <c r="B124" s="639" t="s">
        <v>594</v>
      </c>
      <c r="C124" s="572"/>
      <c r="D124" s="571"/>
      <c r="E124" s="572"/>
      <c r="F124" s="572"/>
      <c r="G124" s="572"/>
      <c r="H124" s="572"/>
      <c r="I124" s="572"/>
      <c r="J124" s="640"/>
      <c r="O124" s="449"/>
    </row>
    <row r="125" spans="1:19" s="433" customFormat="1">
      <c r="A125" s="582" t="s">
        <v>885</v>
      </c>
      <c r="B125" s="614" t="s">
        <v>886</v>
      </c>
      <c r="C125" s="857">
        <v>1</v>
      </c>
      <c r="D125" s="664" t="s">
        <v>40</v>
      </c>
      <c r="E125" s="658">
        <v>0</v>
      </c>
      <c r="F125" s="587">
        <f>ROUND(C125*E125,2)</f>
        <v>0</v>
      </c>
      <c r="G125" s="658">
        <v>2000</v>
      </c>
      <c r="H125" s="587">
        <f>ROUND(C125*G125,2)</f>
        <v>2000</v>
      </c>
      <c r="I125" s="588">
        <f t="shared" ref="I125" si="53">H125+F125</f>
        <v>2000</v>
      </c>
      <c r="J125" s="861"/>
      <c r="O125" s="448">
        <v>504</v>
      </c>
      <c r="P125" s="447" t="e">
        <f>O125/#REF!</f>
        <v>#REF!</v>
      </c>
    </row>
    <row r="126" spans="1:19" ht="26.25" customHeight="1">
      <c r="A126" s="641"/>
      <c r="B126" s="551" t="s">
        <v>1305</v>
      </c>
      <c r="C126" s="636"/>
      <c r="D126" s="552"/>
      <c r="E126" s="926"/>
      <c r="F126" s="926"/>
      <c r="G126" s="926"/>
      <c r="H126" s="926"/>
      <c r="I126" s="928">
        <f>SUM(I125)</f>
        <v>2000</v>
      </c>
      <c r="J126" s="553"/>
      <c r="O126" s="448">
        <v>220.5</v>
      </c>
      <c r="P126" s="447">
        <f>O126/C118</f>
        <v>220.5</v>
      </c>
      <c r="Q126" s="433"/>
      <c r="R126" s="433"/>
      <c r="S126" s="433"/>
    </row>
    <row r="127" spans="1:19" ht="26.25" customHeight="1">
      <c r="A127" s="1298"/>
      <c r="B127" s="501" t="s">
        <v>1191</v>
      </c>
      <c r="C127" s="1299"/>
      <c r="D127" s="1298"/>
      <c r="E127" s="1300"/>
      <c r="F127" s="1300"/>
      <c r="G127" s="1300"/>
      <c r="H127" s="1300"/>
      <c r="I127" s="1300">
        <f>I26+I79+I82+I106+I123+I126</f>
        <v>1105977.6200000001</v>
      </c>
      <c r="J127" s="501"/>
      <c r="O127" s="448">
        <v>497</v>
      </c>
      <c r="P127" s="447">
        <f>O127/C119</f>
        <v>248.5</v>
      </c>
      <c r="Q127" s="433"/>
      <c r="R127" s="433"/>
    </row>
  </sheetData>
  <mergeCells count="24">
    <mergeCell ref="I12:I13"/>
    <mergeCell ref="J12:J13"/>
    <mergeCell ref="A12:A13"/>
    <mergeCell ref="B12:B13"/>
    <mergeCell ref="C12:C13"/>
    <mergeCell ref="D12:D13"/>
    <mergeCell ref="E12:F12"/>
    <mergeCell ref="G12:H12"/>
    <mergeCell ref="A5:G5"/>
    <mergeCell ref="H5:J5"/>
    <mergeCell ref="A1:I1"/>
    <mergeCell ref="A2:I2"/>
    <mergeCell ref="A3:D3"/>
    <mergeCell ref="A4:E4"/>
    <mergeCell ref="I4:J4"/>
    <mergeCell ref="A10:G10"/>
    <mergeCell ref="H10:J10"/>
    <mergeCell ref="A11:G11"/>
    <mergeCell ref="H11:J11"/>
    <mergeCell ref="A6:I6"/>
    <mergeCell ref="A7:I7"/>
    <mergeCell ref="A8:D8"/>
    <mergeCell ref="A9:E9"/>
    <mergeCell ref="I9:J9"/>
  </mergeCells>
  <printOptions horizontalCentered="1"/>
  <pageMargins left="0.31496062992125984" right="0.16" top="0.32" bottom="0.24" header="0.26" footer="0.19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ปร.6</vt:lpstr>
      <vt:lpstr>ปร.5(ก)</vt:lpstr>
      <vt:lpstr>ปร.5(ข)</vt:lpstr>
      <vt:lpstr>ปร.4 (รื้อถอน)</vt:lpstr>
      <vt:lpstr>ปร.4 (โครงสร้าง)</vt:lpstr>
      <vt:lpstr>ปร.4 (สถาปัต)</vt:lpstr>
      <vt:lpstr>ปร.4 (สุขาภิบาล)</vt:lpstr>
      <vt:lpstr>ปร.4 (งานระบบไฟฟ้า)</vt:lpstr>
      <vt:lpstr>ปร.4 (งานปรับอากาศ)</vt:lpstr>
      <vt:lpstr>ปร.4 (ครุภัณฑ์)</vt:lpstr>
      <vt:lpstr>ปร.1.1</vt:lpstr>
      <vt:lpstr>ปร1(1)</vt:lpstr>
      <vt:lpstr>ปร.1(2)</vt:lpstr>
      <vt:lpstr>Factor F</vt:lpstr>
      <vt:lpstr>ประตู</vt:lpstr>
      <vt:lpstr>ผนัง</vt:lpstr>
      <vt:lpstr>'Factor F'!Print_Area</vt:lpstr>
      <vt:lpstr>'ปร.4 (โครงสร้าง)'!Print_Area</vt:lpstr>
      <vt:lpstr>'ปร.4 (ครุภัณฑ์)'!Print_Area</vt:lpstr>
      <vt:lpstr>'ปร.4 (งานปรับอากาศ)'!Print_Area</vt:lpstr>
      <vt:lpstr>'ปร.4 (งานระบบไฟฟ้า)'!Print_Area</vt:lpstr>
      <vt:lpstr>'ปร.4 (รื้อถอน)'!Print_Area</vt:lpstr>
      <vt:lpstr>'ปร.4 (สถาปัต)'!Print_Area</vt:lpstr>
      <vt:lpstr>'ปร.4 (สุขาภิบาล)'!Print_Area</vt:lpstr>
      <vt:lpstr>'ปร.5(ก)'!Print_Area</vt:lpstr>
      <vt:lpstr>'ปร.5(ข)'!Print_Area</vt:lpstr>
      <vt:lpstr>ปร.6!Print_Area</vt:lpstr>
      <vt:lpstr>'ปร.4 (โครงสร้าง)'!Print_Titles</vt:lpstr>
      <vt:lpstr>'ปร.4 (ครุภัณฑ์)'!Print_Titles</vt:lpstr>
      <vt:lpstr>'ปร.4 (งานปรับอากาศ)'!Print_Titles</vt:lpstr>
      <vt:lpstr>'ปร.4 (งานระบบไฟฟ้า)'!Print_Titles</vt:lpstr>
      <vt:lpstr>'ปร.4 (รื้อถอน)'!Print_Titles</vt:lpstr>
      <vt:lpstr>'ปร.4 (สถาปัต)'!Print_Titles</vt:lpstr>
      <vt:lpstr>'ปร.4 (สุขาภิบาล)'!Print_Titles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2023-04-24T09:01:42Z</dcterms:modified>
</cp:coreProperties>
</file>