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 งานเพ็ญ\1. งานจัดหางานก่อสร้าง\8. งานจัดหา ปี 69\1. งานก่อสร้าง\1. สนามกีฬา\2. การจัดหาครั้งที่ 2\1. ราคากลาง\"/>
    </mc:Choice>
  </mc:AlternateContent>
  <bookViews>
    <workbookView xWindow="0" yWindow="0" windowWidth="21600" windowHeight="9030" firstSheet="1" activeTab="7"/>
  </bookViews>
  <sheets>
    <sheet name=" ปร.4 ลุกรัง" sheetId="29" state="hidden" r:id="rId1"/>
    <sheet name=" ปร.4 หินคลุก" sheetId="40" r:id="rId2"/>
    <sheet name=" ปร.4  (3)" sheetId="39" state="hidden" r:id="rId3"/>
    <sheet name="ปร.5 หินคลุก)" sheetId="42" r:id="rId4"/>
    <sheet name="ปร.5 (ลูกรัง)" sheetId="41" state="hidden" r:id="rId5"/>
    <sheet name="ปร.5" sheetId="30" state="hidden" r:id="rId6"/>
    <sheet name=" ปร.4  เดิม" sheetId="38" state="hidden" r:id="rId7"/>
    <sheet name="ปร.6" sheetId="31" r:id="rId8"/>
    <sheet name="ปร.5 (2)" sheetId="36" state="hidden" r:id="rId9"/>
    <sheet name="วงเงินงวด" sheetId="35" state="hidden" r:id="rId10"/>
  </sheets>
  <definedNames>
    <definedName name="_xlnm.Print_Area" localSheetId="5">ปร.5!$A$1:$F$40</definedName>
    <definedName name="_xlnm.Print_Area" localSheetId="8">'ปร.5 (2)'!$A$1:$G$41</definedName>
    <definedName name="_xlnm.Print_Area" localSheetId="4">'ปร.5 (ลูกรัง)'!$A$1:$F$40</definedName>
    <definedName name="_xlnm.Print_Area" localSheetId="3">'ปร.5 หินคลุก)'!$A$1:$F$40</definedName>
    <definedName name="_xlnm.Print_Titles" localSheetId="2">' ปร.4  (3)'!$1:$9</definedName>
    <definedName name="_xlnm.Print_Titles" localSheetId="6">' ปร.4  เดิม'!$1:$9</definedName>
    <definedName name="_xlnm.Print_Titles" localSheetId="0">' ปร.4 ลุกรัง'!$1:$9</definedName>
    <definedName name="_xlnm.Print_Titles" localSheetId="1">' ปร.4 หินคลุก'!$1:$9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2" l="1"/>
  <c r="H128" i="40" l="1"/>
  <c r="C51" i="40" l="1"/>
  <c r="C18" i="40"/>
  <c r="C19" i="40" l="1"/>
  <c r="C53" i="40"/>
  <c r="C44" i="40"/>
  <c r="F19" i="40"/>
  <c r="H19" i="40"/>
  <c r="G179" i="40"/>
  <c r="E179" i="40"/>
  <c r="H183" i="40"/>
  <c r="F183" i="40"/>
  <c r="I183" i="40" s="1"/>
  <c r="I19" i="40" l="1"/>
  <c r="C65" i="40"/>
  <c r="C59" i="40"/>
  <c r="F65" i="40"/>
  <c r="C49" i="40"/>
  <c r="C40" i="40"/>
  <c r="H65" i="40" l="1"/>
  <c r="I65" i="40" s="1"/>
  <c r="G34" i="40"/>
  <c r="G27" i="40"/>
  <c r="G17" i="40"/>
  <c r="G26" i="40"/>
  <c r="G18" i="40"/>
  <c r="H60" i="40"/>
  <c r="H61" i="40"/>
  <c r="H62" i="40"/>
  <c r="F60" i="40"/>
  <c r="F61" i="40"/>
  <c r="F62" i="40"/>
  <c r="C54" i="40"/>
  <c r="C50" i="40"/>
  <c r="C52" i="40"/>
  <c r="C55" i="40"/>
  <c r="C42" i="40"/>
  <c r="C43" i="40"/>
  <c r="C45" i="40"/>
  <c r="C46" i="40"/>
  <c r="C34" i="40"/>
  <c r="C12" i="40"/>
  <c r="C13" i="40" s="1"/>
  <c r="C26" i="40"/>
  <c r="F26" i="40" s="1"/>
  <c r="C20" i="40"/>
  <c r="H20" i="40" s="1"/>
  <c r="H22" i="40"/>
  <c r="F22" i="40"/>
  <c r="F18" i="40"/>
  <c r="F17" i="40"/>
  <c r="H11" i="40"/>
  <c r="I11" i="40" s="1"/>
  <c r="C27" i="40"/>
  <c r="I60" i="40" l="1"/>
  <c r="H46" i="40"/>
  <c r="F46" i="40"/>
  <c r="I62" i="40"/>
  <c r="I61" i="40"/>
  <c r="H26" i="40"/>
  <c r="I26" i="40" s="1"/>
  <c r="F20" i="40"/>
  <c r="I22" i="40"/>
  <c r="I20" i="40"/>
  <c r="H18" i="40"/>
  <c r="I18" i="40" s="1"/>
  <c r="H17" i="40"/>
  <c r="I17" i="40" s="1"/>
  <c r="I46" i="40" l="1"/>
  <c r="C21" i="41"/>
  <c r="I85" i="29"/>
  <c r="H72" i="29"/>
  <c r="F72" i="29"/>
  <c r="I72" i="29" s="1"/>
  <c r="H71" i="29"/>
  <c r="F71" i="29"/>
  <c r="I71" i="29" s="1"/>
  <c r="H70" i="29"/>
  <c r="I70" i="29" s="1"/>
  <c r="F70" i="29"/>
  <c r="I140" i="29" l="1"/>
  <c r="I131" i="29"/>
  <c r="I48" i="29"/>
  <c r="I39" i="29"/>
  <c r="I23" i="29"/>
  <c r="I15" i="29"/>
  <c r="C12" i="41" s="1"/>
  <c r="H37" i="40"/>
  <c r="F37" i="40"/>
  <c r="I37" i="40" s="1"/>
  <c r="C35" i="40"/>
  <c r="C33" i="29"/>
  <c r="H27" i="40"/>
  <c r="H38" i="29"/>
  <c r="C25" i="29"/>
  <c r="C26" i="29"/>
  <c r="H30" i="40"/>
  <c r="F30" i="40"/>
  <c r="H28" i="40"/>
  <c r="F28" i="40"/>
  <c r="F27" i="40"/>
  <c r="H21" i="42"/>
  <c r="H16" i="42"/>
  <c r="I28" i="40" l="1"/>
  <c r="I27" i="40"/>
  <c r="F38" i="29"/>
  <c r="I38" i="29" s="1"/>
  <c r="H21" i="41" l="1"/>
  <c r="C20" i="41"/>
  <c r="C18" i="41"/>
  <c r="C17" i="41"/>
  <c r="H16" i="41"/>
  <c r="C16" i="41"/>
  <c r="C14" i="30" l="1"/>
  <c r="C20" i="29"/>
  <c r="C19" i="29"/>
  <c r="H19" i="29" s="1"/>
  <c r="H226" i="40"/>
  <c r="H227" i="40" s="1"/>
  <c r="F226" i="40"/>
  <c r="F227" i="40" s="1"/>
  <c r="H223" i="40"/>
  <c r="F223" i="40"/>
  <c r="H222" i="40"/>
  <c r="F222" i="40"/>
  <c r="F224" i="40" s="1"/>
  <c r="H219" i="40"/>
  <c r="F219" i="40"/>
  <c r="H218" i="40"/>
  <c r="F218" i="40"/>
  <c r="H217" i="40"/>
  <c r="F217" i="40"/>
  <c r="H216" i="40"/>
  <c r="H220" i="40" s="1"/>
  <c r="F216" i="40"/>
  <c r="F220" i="40" s="1"/>
  <c r="H213" i="40"/>
  <c r="F213" i="40"/>
  <c r="H211" i="40"/>
  <c r="F211" i="40"/>
  <c r="H210" i="40"/>
  <c r="F210" i="40"/>
  <c r="H209" i="40"/>
  <c r="H214" i="40" s="1"/>
  <c r="F209" i="40"/>
  <c r="F214" i="40" s="1"/>
  <c r="H205" i="40"/>
  <c r="F205" i="40"/>
  <c r="H204" i="40"/>
  <c r="F204" i="40"/>
  <c r="H203" i="40"/>
  <c r="F203" i="40"/>
  <c r="H202" i="40"/>
  <c r="H206" i="40" s="1"/>
  <c r="F202" i="40"/>
  <c r="F206" i="40" s="1"/>
  <c r="H197" i="40"/>
  <c r="F197" i="40"/>
  <c r="F195" i="40"/>
  <c r="H194" i="40"/>
  <c r="F194" i="40"/>
  <c r="H193" i="40"/>
  <c r="F193" i="40"/>
  <c r="H192" i="40"/>
  <c r="F192" i="40"/>
  <c r="H191" i="40"/>
  <c r="F191" i="40"/>
  <c r="H189" i="40"/>
  <c r="F189" i="40"/>
  <c r="H188" i="40"/>
  <c r="F188" i="40"/>
  <c r="H187" i="40"/>
  <c r="F187" i="40"/>
  <c r="H184" i="40"/>
  <c r="F184" i="40"/>
  <c r="H179" i="40"/>
  <c r="F179" i="40"/>
  <c r="H178" i="40"/>
  <c r="F178" i="40"/>
  <c r="H177" i="40"/>
  <c r="F177" i="40"/>
  <c r="C176" i="40"/>
  <c r="C175" i="40"/>
  <c r="C174" i="40"/>
  <c r="C170" i="40"/>
  <c r="C169" i="40"/>
  <c r="C168" i="40"/>
  <c r="C167" i="40"/>
  <c r="C163" i="40"/>
  <c r="C162" i="40"/>
  <c r="C165" i="40" s="1"/>
  <c r="C161" i="40"/>
  <c r="C160" i="40"/>
  <c r="C156" i="40"/>
  <c r="C155" i="40"/>
  <c r="C154" i="40"/>
  <c r="C153" i="40"/>
  <c r="C149" i="40"/>
  <c r="C151" i="40" s="1"/>
  <c r="C148" i="40"/>
  <c r="C147" i="40"/>
  <c r="C146" i="40"/>
  <c r="C142" i="40"/>
  <c r="C144" i="40" s="1"/>
  <c r="C141" i="40"/>
  <c r="H141" i="40" s="1"/>
  <c r="H140" i="40"/>
  <c r="F140" i="40"/>
  <c r="H136" i="40"/>
  <c r="F136" i="40"/>
  <c r="C135" i="40"/>
  <c r="C133" i="40"/>
  <c r="C134" i="40" s="1"/>
  <c r="C132" i="40"/>
  <c r="C131" i="40"/>
  <c r="C130" i="40"/>
  <c r="H129" i="40"/>
  <c r="F129" i="40"/>
  <c r="F128" i="40"/>
  <c r="H125" i="40"/>
  <c r="F125" i="40"/>
  <c r="H124" i="40"/>
  <c r="F124" i="40"/>
  <c r="H123" i="40"/>
  <c r="F123" i="40"/>
  <c r="H122" i="40"/>
  <c r="F122" i="40"/>
  <c r="H121" i="40"/>
  <c r="F121" i="40"/>
  <c r="H120" i="40"/>
  <c r="F120" i="40"/>
  <c r="H119" i="40"/>
  <c r="H126" i="40" s="1"/>
  <c r="F119" i="40"/>
  <c r="H115" i="40"/>
  <c r="F115" i="40"/>
  <c r="H114" i="40"/>
  <c r="F114" i="40"/>
  <c r="H113" i="40"/>
  <c r="F113" i="40"/>
  <c r="H112" i="40"/>
  <c r="F112" i="40"/>
  <c r="H111" i="40"/>
  <c r="F111" i="40"/>
  <c r="H110" i="40"/>
  <c r="F110" i="40"/>
  <c r="H109" i="40"/>
  <c r="F109" i="40"/>
  <c r="H108" i="40"/>
  <c r="F108" i="40"/>
  <c r="H107" i="40"/>
  <c r="F107" i="40"/>
  <c r="H106" i="40"/>
  <c r="H116" i="40" s="1"/>
  <c r="F106" i="40"/>
  <c r="F116" i="40" s="1"/>
  <c r="H103" i="40"/>
  <c r="F103" i="40"/>
  <c r="H102" i="40"/>
  <c r="F102" i="40"/>
  <c r="H101" i="40"/>
  <c r="F101" i="40"/>
  <c r="H100" i="40"/>
  <c r="F100" i="40"/>
  <c r="H99" i="40"/>
  <c r="F99" i="40"/>
  <c r="H98" i="40"/>
  <c r="F98" i="40"/>
  <c r="H97" i="40"/>
  <c r="F97" i="40"/>
  <c r="H96" i="40"/>
  <c r="F96" i="40"/>
  <c r="H95" i="40"/>
  <c r="F95" i="40"/>
  <c r="H94" i="40"/>
  <c r="F94" i="40"/>
  <c r="H93" i="40"/>
  <c r="H104" i="40" s="1"/>
  <c r="F93" i="40"/>
  <c r="H90" i="40"/>
  <c r="F90" i="40"/>
  <c r="H89" i="40"/>
  <c r="F89" i="40"/>
  <c r="H88" i="40"/>
  <c r="F88" i="40"/>
  <c r="H87" i="40"/>
  <c r="F87" i="40"/>
  <c r="H86" i="40"/>
  <c r="F86" i="40"/>
  <c r="H85" i="40"/>
  <c r="F85" i="40"/>
  <c r="K96" i="40"/>
  <c r="H84" i="40"/>
  <c r="F84" i="40"/>
  <c r="H81" i="40"/>
  <c r="F81" i="40"/>
  <c r="H80" i="40"/>
  <c r="F80" i="40"/>
  <c r="C79" i="40"/>
  <c r="H79" i="40" s="1"/>
  <c r="H78" i="40"/>
  <c r="F78" i="40"/>
  <c r="H77" i="40"/>
  <c r="F77" i="40"/>
  <c r="H76" i="40"/>
  <c r="F76" i="40"/>
  <c r="H75" i="40"/>
  <c r="F75" i="40"/>
  <c r="H74" i="40"/>
  <c r="F74" i="40"/>
  <c r="H73" i="40"/>
  <c r="F73" i="40"/>
  <c r="H72" i="40"/>
  <c r="F72" i="40"/>
  <c r="H71" i="40"/>
  <c r="F71" i="40"/>
  <c r="H70" i="40"/>
  <c r="F70" i="40"/>
  <c r="H66" i="40"/>
  <c r="F66" i="40"/>
  <c r="H64" i="40"/>
  <c r="F64" i="40"/>
  <c r="H63" i="40"/>
  <c r="F63" i="40"/>
  <c r="H59" i="40"/>
  <c r="F59" i="40"/>
  <c r="F67" i="40" s="1"/>
  <c r="H56" i="40"/>
  <c r="F56" i="40"/>
  <c r="H55" i="40"/>
  <c r="F55" i="40"/>
  <c r="H54" i="40"/>
  <c r="F54" i="40"/>
  <c r="H53" i="40"/>
  <c r="H52" i="40"/>
  <c r="F52" i="40"/>
  <c r="H51" i="40"/>
  <c r="F51" i="40"/>
  <c r="H50" i="40"/>
  <c r="F50" i="40"/>
  <c r="H49" i="40"/>
  <c r="F49" i="40"/>
  <c r="H45" i="40"/>
  <c r="H44" i="40"/>
  <c r="H43" i="40"/>
  <c r="H42" i="40"/>
  <c r="H41" i="40"/>
  <c r="F41" i="40"/>
  <c r="H40" i="40"/>
  <c r="F40" i="40"/>
  <c r="H36" i="40"/>
  <c r="F36" i="40"/>
  <c r="H35" i="40"/>
  <c r="H34" i="40"/>
  <c r="F34" i="40"/>
  <c r="H31" i="40"/>
  <c r="F31" i="40"/>
  <c r="H29" i="40"/>
  <c r="F29" i="40"/>
  <c r="H25" i="40"/>
  <c r="F25" i="40"/>
  <c r="M23" i="40"/>
  <c r="M25" i="40" s="1"/>
  <c r="M26" i="40" s="1"/>
  <c r="H21" i="40"/>
  <c r="M15" i="40"/>
  <c r="H14" i="40"/>
  <c r="F14" i="40"/>
  <c r="H13" i="40"/>
  <c r="F13" i="40"/>
  <c r="F12" i="40"/>
  <c r="H12" i="40"/>
  <c r="O5" i="40"/>
  <c r="O7" i="40" s="1"/>
  <c r="I227" i="39"/>
  <c r="I228" i="39" s="1"/>
  <c r="H227" i="39"/>
  <c r="H228" i="39" s="1"/>
  <c r="F227" i="39"/>
  <c r="F228" i="39" s="1"/>
  <c r="H225" i="39"/>
  <c r="H224" i="39"/>
  <c r="F224" i="39"/>
  <c r="I224" i="39" s="1"/>
  <c r="H223" i="39"/>
  <c r="I223" i="39" s="1"/>
  <c r="I225" i="39" s="1"/>
  <c r="F223" i="39"/>
  <c r="F225" i="39" s="1"/>
  <c r="H220" i="39"/>
  <c r="F220" i="39"/>
  <c r="I220" i="39" s="1"/>
  <c r="H219" i="39"/>
  <c r="F219" i="39"/>
  <c r="I219" i="39" s="1"/>
  <c r="I221" i="39" s="1"/>
  <c r="H218" i="39"/>
  <c r="I218" i="39" s="1"/>
  <c r="F218" i="39"/>
  <c r="I217" i="39"/>
  <c r="H217" i="39"/>
  <c r="H221" i="39" s="1"/>
  <c r="F217" i="39"/>
  <c r="H214" i="39"/>
  <c r="F214" i="39"/>
  <c r="I214" i="39" s="1"/>
  <c r="H212" i="39"/>
  <c r="I212" i="39" s="1"/>
  <c r="F212" i="39"/>
  <c r="I211" i="39"/>
  <c r="H211" i="39"/>
  <c r="F211" i="39"/>
  <c r="H210" i="39"/>
  <c r="H215" i="39" s="1"/>
  <c r="F210" i="39"/>
  <c r="F207" i="39"/>
  <c r="H206" i="39"/>
  <c r="I206" i="39" s="1"/>
  <c r="F206" i="39"/>
  <c r="I205" i="39"/>
  <c r="H205" i="39"/>
  <c r="F205" i="39"/>
  <c r="H204" i="39"/>
  <c r="F204" i="39"/>
  <c r="H203" i="39"/>
  <c r="F203" i="39"/>
  <c r="I203" i="39" s="1"/>
  <c r="H198" i="39"/>
  <c r="F198" i="39"/>
  <c r="I198" i="39" s="1"/>
  <c r="I199" i="39" s="1"/>
  <c r="I196" i="39"/>
  <c r="F196" i="39"/>
  <c r="I195" i="39"/>
  <c r="G196" i="39" s="1"/>
  <c r="H196" i="39" s="1"/>
  <c r="H195" i="39"/>
  <c r="F195" i="39"/>
  <c r="H194" i="39"/>
  <c r="F194" i="39"/>
  <c r="H193" i="39"/>
  <c r="F193" i="39"/>
  <c r="I193" i="39" s="1"/>
  <c r="H192" i="39"/>
  <c r="F192" i="39"/>
  <c r="I192" i="39" s="1"/>
  <c r="H190" i="39"/>
  <c r="F190" i="39"/>
  <c r="I190" i="39" s="1"/>
  <c r="H189" i="39"/>
  <c r="F189" i="39"/>
  <c r="I189" i="39" s="1"/>
  <c r="H188" i="39"/>
  <c r="F188" i="39"/>
  <c r="I188" i="39" s="1"/>
  <c r="I185" i="39"/>
  <c r="H185" i="39"/>
  <c r="F185" i="39"/>
  <c r="H184" i="39"/>
  <c r="N190" i="39" s="1"/>
  <c r="F184" i="39"/>
  <c r="G180" i="39"/>
  <c r="H180" i="39" s="1"/>
  <c r="E180" i="39"/>
  <c r="F180" i="39" s="1"/>
  <c r="H179" i="39"/>
  <c r="F179" i="39"/>
  <c r="H178" i="39"/>
  <c r="F178" i="39"/>
  <c r="I178" i="39" s="1"/>
  <c r="C177" i="39"/>
  <c r="C176" i="39"/>
  <c r="C175" i="39"/>
  <c r="C173" i="39"/>
  <c r="C171" i="39"/>
  <c r="C170" i="39"/>
  <c r="C169" i="39"/>
  <c r="C168" i="39"/>
  <c r="C164" i="39"/>
  <c r="C163" i="39"/>
  <c r="C166" i="39" s="1"/>
  <c r="C162" i="39"/>
  <c r="C161" i="39"/>
  <c r="C157" i="39"/>
  <c r="C156" i="39"/>
  <c r="C155" i="39"/>
  <c r="C154" i="39"/>
  <c r="C152" i="39"/>
  <c r="C150" i="39"/>
  <c r="C149" i="39"/>
  <c r="C148" i="39"/>
  <c r="C147" i="39"/>
  <c r="C145" i="39"/>
  <c r="H143" i="39"/>
  <c r="F143" i="39"/>
  <c r="I143" i="39" s="1"/>
  <c r="C143" i="39"/>
  <c r="H142" i="39"/>
  <c r="F142" i="39"/>
  <c r="C142" i="39"/>
  <c r="H141" i="39"/>
  <c r="F141" i="39"/>
  <c r="H137" i="39"/>
  <c r="F137" i="39"/>
  <c r="I137" i="39" s="1"/>
  <c r="C136" i="39"/>
  <c r="C134" i="39"/>
  <c r="C135" i="39" s="1"/>
  <c r="C133" i="39"/>
  <c r="C132" i="39"/>
  <c r="C131" i="39"/>
  <c r="I130" i="39"/>
  <c r="H130" i="39"/>
  <c r="F130" i="39"/>
  <c r="F129" i="39"/>
  <c r="I126" i="39"/>
  <c r="H126" i="39"/>
  <c r="F126" i="39"/>
  <c r="H125" i="39"/>
  <c r="F125" i="39"/>
  <c r="I125" i="39" s="1"/>
  <c r="H124" i="39"/>
  <c r="F124" i="39"/>
  <c r="I124" i="39" s="1"/>
  <c r="I123" i="39"/>
  <c r="H123" i="39"/>
  <c r="F123" i="39"/>
  <c r="I122" i="39"/>
  <c r="H122" i="39"/>
  <c r="F122" i="39"/>
  <c r="H121" i="39"/>
  <c r="F121" i="39"/>
  <c r="I121" i="39" s="1"/>
  <c r="H120" i="39"/>
  <c r="H127" i="39" s="1"/>
  <c r="F120" i="39"/>
  <c r="I116" i="39"/>
  <c r="H116" i="39"/>
  <c r="F116" i="39"/>
  <c r="H115" i="39"/>
  <c r="F115" i="39"/>
  <c r="H114" i="39"/>
  <c r="F114" i="39"/>
  <c r="I114" i="39" s="1"/>
  <c r="H113" i="39"/>
  <c r="F113" i="39"/>
  <c r="I113" i="39" s="1"/>
  <c r="I112" i="39"/>
  <c r="H112" i="39"/>
  <c r="F112" i="39"/>
  <c r="H111" i="39"/>
  <c r="F111" i="39"/>
  <c r="I111" i="39" s="1"/>
  <c r="H110" i="39"/>
  <c r="F110" i="39"/>
  <c r="I110" i="39" s="1"/>
  <c r="H109" i="39"/>
  <c r="F109" i="39"/>
  <c r="I109" i="39" s="1"/>
  <c r="I108" i="39"/>
  <c r="H108" i="39"/>
  <c r="F108" i="39"/>
  <c r="H107" i="39"/>
  <c r="F107" i="39"/>
  <c r="F105" i="39"/>
  <c r="H104" i="39"/>
  <c r="F104" i="39"/>
  <c r="I104" i="39" s="1"/>
  <c r="I103" i="39"/>
  <c r="H103" i="39"/>
  <c r="F103" i="39"/>
  <c r="H102" i="39"/>
  <c r="F102" i="39"/>
  <c r="H101" i="39"/>
  <c r="F101" i="39"/>
  <c r="I101" i="39" s="1"/>
  <c r="H100" i="39"/>
  <c r="F100" i="39"/>
  <c r="I100" i="39" s="1"/>
  <c r="I99" i="39"/>
  <c r="H99" i="39"/>
  <c r="F99" i="39"/>
  <c r="H98" i="39"/>
  <c r="F98" i="39"/>
  <c r="I98" i="39" s="1"/>
  <c r="H97" i="39"/>
  <c r="F97" i="39"/>
  <c r="I97" i="39" s="1"/>
  <c r="H96" i="39"/>
  <c r="F96" i="39"/>
  <c r="I96" i="39" s="1"/>
  <c r="I95" i="39"/>
  <c r="H95" i="39"/>
  <c r="F95" i="39"/>
  <c r="H94" i="39"/>
  <c r="H105" i="39" s="1"/>
  <c r="F94" i="39"/>
  <c r="F92" i="39"/>
  <c r="H91" i="39"/>
  <c r="F91" i="39"/>
  <c r="I91" i="39" s="1"/>
  <c r="I90" i="39"/>
  <c r="H90" i="39"/>
  <c r="F90" i="39"/>
  <c r="H89" i="39"/>
  <c r="F89" i="39"/>
  <c r="H88" i="39"/>
  <c r="F88" i="39"/>
  <c r="I88" i="39" s="1"/>
  <c r="H87" i="39"/>
  <c r="F87" i="39"/>
  <c r="I87" i="39" s="1"/>
  <c r="I86" i="39"/>
  <c r="H86" i="39"/>
  <c r="F86" i="39"/>
  <c r="K85" i="39"/>
  <c r="I85" i="39"/>
  <c r="H85" i="39"/>
  <c r="F85" i="39"/>
  <c r="H82" i="39"/>
  <c r="F82" i="39"/>
  <c r="I82" i="39" s="1"/>
  <c r="H81" i="39"/>
  <c r="F81" i="39"/>
  <c r="I81" i="39" s="1"/>
  <c r="C80" i="39"/>
  <c r="H80" i="39" s="1"/>
  <c r="I79" i="39"/>
  <c r="H79" i="39"/>
  <c r="F79" i="39"/>
  <c r="H78" i="39"/>
  <c r="I78" i="39" s="1"/>
  <c r="F78" i="39"/>
  <c r="H77" i="39"/>
  <c r="F77" i="39"/>
  <c r="I77" i="39" s="1"/>
  <c r="H76" i="39"/>
  <c r="F76" i="39"/>
  <c r="I76" i="39" s="1"/>
  <c r="I75" i="39"/>
  <c r="H75" i="39"/>
  <c r="F75" i="39"/>
  <c r="H74" i="39"/>
  <c r="H83" i="39" s="1"/>
  <c r="F74" i="39"/>
  <c r="H73" i="39"/>
  <c r="F73" i="39"/>
  <c r="I73" i="39" s="1"/>
  <c r="H72" i="39"/>
  <c r="F72" i="39"/>
  <c r="I72" i="39" s="1"/>
  <c r="I71" i="39"/>
  <c r="H71" i="39"/>
  <c r="F71" i="39"/>
  <c r="H67" i="39"/>
  <c r="F67" i="39"/>
  <c r="I67" i="39" s="1"/>
  <c r="H66" i="39"/>
  <c r="F66" i="39"/>
  <c r="I66" i="39" s="1"/>
  <c r="I65" i="39"/>
  <c r="H65" i="39"/>
  <c r="F65" i="39"/>
  <c r="H64" i="39"/>
  <c r="H68" i="39" s="1"/>
  <c r="F64" i="39"/>
  <c r="I64" i="39" s="1"/>
  <c r="H63" i="39"/>
  <c r="F63" i="39"/>
  <c r="I63" i="39" s="1"/>
  <c r="H62" i="39"/>
  <c r="F62" i="39"/>
  <c r="H59" i="39"/>
  <c r="I59" i="39" s="1"/>
  <c r="F59" i="39"/>
  <c r="H58" i="39"/>
  <c r="F58" i="39"/>
  <c r="I58" i="39" s="1"/>
  <c r="H57" i="39"/>
  <c r="F57" i="39"/>
  <c r="I57" i="39" s="1"/>
  <c r="F56" i="39"/>
  <c r="C56" i="39"/>
  <c r="H56" i="39" s="1"/>
  <c r="I56" i="39" s="1"/>
  <c r="I55" i="39"/>
  <c r="H55" i="39"/>
  <c r="F55" i="39"/>
  <c r="H54" i="39"/>
  <c r="F54" i="39"/>
  <c r="H53" i="39"/>
  <c r="F53" i="39"/>
  <c r="I53" i="39" s="1"/>
  <c r="H52" i="39"/>
  <c r="F52" i="39"/>
  <c r="I52" i="39" s="1"/>
  <c r="I51" i="39"/>
  <c r="H51" i="39"/>
  <c r="F51" i="39"/>
  <c r="F60" i="39" s="1"/>
  <c r="F48" i="39"/>
  <c r="I48" i="39" s="1"/>
  <c r="C48" i="39"/>
  <c r="H48" i="39" s="1"/>
  <c r="F47" i="39"/>
  <c r="I47" i="39" s="1"/>
  <c r="C47" i="39"/>
  <c r="H47" i="39" s="1"/>
  <c r="F46" i="39"/>
  <c r="I46" i="39" s="1"/>
  <c r="C46" i="39"/>
  <c r="H46" i="39" s="1"/>
  <c r="F45" i="39"/>
  <c r="I45" i="39" s="1"/>
  <c r="C45" i="39"/>
  <c r="H45" i="39" s="1"/>
  <c r="H49" i="39" s="1"/>
  <c r="H44" i="39"/>
  <c r="F44" i="39"/>
  <c r="I44" i="39" s="1"/>
  <c r="H43" i="39"/>
  <c r="I43" i="39" s="1"/>
  <c r="F43" i="39"/>
  <c r="I42" i="39"/>
  <c r="H42" i="39"/>
  <c r="F42" i="39"/>
  <c r="F49" i="39" s="1"/>
  <c r="H39" i="39"/>
  <c r="F39" i="39"/>
  <c r="I39" i="39" s="1"/>
  <c r="H38" i="39"/>
  <c r="F38" i="39"/>
  <c r="I38" i="39" s="1"/>
  <c r="F37" i="39"/>
  <c r="C37" i="39"/>
  <c r="H37" i="39" s="1"/>
  <c r="H40" i="39" s="1"/>
  <c r="I36" i="39"/>
  <c r="H36" i="39"/>
  <c r="F36" i="39"/>
  <c r="C36" i="39"/>
  <c r="I35" i="39"/>
  <c r="H35" i="39"/>
  <c r="F35" i="39"/>
  <c r="F40" i="39" s="1"/>
  <c r="H32" i="39"/>
  <c r="F32" i="39"/>
  <c r="I32" i="39" s="1"/>
  <c r="M30" i="39" s="1"/>
  <c r="O30" i="39" s="1"/>
  <c r="H31" i="39"/>
  <c r="F31" i="39"/>
  <c r="I31" i="39" s="1"/>
  <c r="H30" i="39"/>
  <c r="F30" i="39"/>
  <c r="I30" i="39" s="1"/>
  <c r="H29" i="39"/>
  <c r="F29" i="39"/>
  <c r="I29" i="39" s="1"/>
  <c r="I28" i="39"/>
  <c r="H28" i="39"/>
  <c r="F28" i="39"/>
  <c r="H26" i="39"/>
  <c r="I26" i="39" s="1"/>
  <c r="I33" i="39" s="1"/>
  <c r="F26" i="39"/>
  <c r="H22" i="39"/>
  <c r="I22" i="39" s="1"/>
  <c r="F22" i="39"/>
  <c r="M21" i="39"/>
  <c r="M23" i="39" s="1"/>
  <c r="M24" i="39" s="1"/>
  <c r="C21" i="39" s="1"/>
  <c r="H20" i="39"/>
  <c r="I20" i="39" s="1"/>
  <c r="F20" i="39"/>
  <c r="H19" i="39"/>
  <c r="F19" i="39"/>
  <c r="I19" i="39" s="1"/>
  <c r="C19" i="39"/>
  <c r="H18" i="39"/>
  <c r="F18" i="39"/>
  <c r="I18" i="39" s="1"/>
  <c r="H17" i="39"/>
  <c r="I17" i="39" s="1"/>
  <c r="M15" i="39"/>
  <c r="I14" i="39"/>
  <c r="H14" i="39"/>
  <c r="F14" i="39"/>
  <c r="H13" i="39"/>
  <c r="I13" i="39" s="1"/>
  <c r="F13" i="39"/>
  <c r="H12" i="39"/>
  <c r="F12" i="39"/>
  <c r="I12" i="39" s="1"/>
  <c r="C11" i="39"/>
  <c r="H11" i="39" s="1"/>
  <c r="O5" i="39"/>
  <c r="O7" i="39" s="1"/>
  <c r="H17" i="29"/>
  <c r="I17" i="29" s="1"/>
  <c r="M26" i="38"/>
  <c r="C23" i="38"/>
  <c r="M15" i="29"/>
  <c r="H236" i="38"/>
  <c r="I235" i="38"/>
  <c r="I236" i="38" s="1"/>
  <c r="H235" i="38"/>
  <c r="F235" i="38"/>
  <c r="F236" i="38" s="1"/>
  <c r="H233" i="38"/>
  <c r="H232" i="38"/>
  <c r="F232" i="38"/>
  <c r="I232" i="38" s="1"/>
  <c r="H231" i="38"/>
  <c r="I231" i="38" s="1"/>
  <c r="F231" i="38"/>
  <c r="H228" i="38"/>
  <c r="F228" i="38"/>
  <c r="H227" i="38"/>
  <c r="F227" i="38"/>
  <c r="I227" i="38" s="1"/>
  <c r="H226" i="38"/>
  <c r="F226" i="38"/>
  <c r="I226" i="38" s="1"/>
  <c r="I225" i="38"/>
  <c r="H225" i="38"/>
  <c r="F225" i="38"/>
  <c r="F229" i="38" s="1"/>
  <c r="H222" i="38"/>
  <c r="F222" i="38"/>
  <c r="I222" i="38" s="1"/>
  <c r="H220" i="38"/>
  <c r="F220" i="38"/>
  <c r="I220" i="38" s="1"/>
  <c r="I219" i="38"/>
  <c r="H219" i="38"/>
  <c r="F219" i="38"/>
  <c r="H218" i="38"/>
  <c r="H223" i="38" s="1"/>
  <c r="F218" i="38"/>
  <c r="F223" i="38" s="1"/>
  <c r="H214" i="38"/>
  <c r="F214" i="38"/>
  <c r="I214" i="38" s="1"/>
  <c r="I213" i="38"/>
  <c r="H213" i="38"/>
  <c r="F213" i="38"/>
  <c r="H212" i="38"/>
  <c r="F212" i="38"/>
  <c r="I212" i="38" s="1"/>
  <c r="H211" i="38"/>
  <c r="F211" i="38"/>
  <c r="I211" i="38" s="1"/>
  <c r="I215" i="38" s="1"/>
  <c r="H206" i="38"/>
  <c r="F206" i="38"/>
  <c r="I206" i="38" s="1"/>
  <c r="I207" i="38" s="1"/>
  <c r="I204" i="38"/>
  <c r="F204" i="38"/>
  <c r="I203" i="38"/>
  <c r="G204" i="38" s="1"/>
  <c r="H204" i="38" s="1"/>
  <c r="H203" i="38"/>
  <c r="F203" i="38"/>
  <c r="H202" i="38"/>
  <c r="F202" i="38"/>
  <c r="I202" i="38" s="1"/>
  <c r="H201" i="38"/>
  <c r="F201" i="38"/>
  <c r="I201" i="38" s="1"/>
  <c r="H200" i="38"/>
  <c r="F200" i="38"/>
  <c r="I200" i="38" s="1"/>
  <c r="H198" i="38"/>
  <c r="F198" i="38"/>
  <c r="H197" i="38"/>
  <c r="F197" i="38"/>
  <c r="I197" i="38" s="1"/>
  <c r="H196" i="38"/>
  <c r="F196" i="38"/>
  <c r="I196" i="38" s="1"/>
  <c r="I193" i="38"/>
  <c r="H193" i="38"/>
  <c r="F193" i="38"/>
  <c r="M198" i="38" s="1"/>
  <c r="H192" i="38"/>
  <c r="F192" i="38"/>
  <c r="I192" i="38" s="1"/>
  <c r="G188" i="38"/>
  <c r="H188" i="38" s="1"/>
  <c r="E188" i="38"/>
  <c r="F188" i="38" s="1"/>
  <c r="I188" i="38" s="1"/>
  <c r="H187" i="38"/>
  <c r="F187" i="38"/>
  <c r="I187" i="38" s="1"/>
  <c r="H186" i="38"/>
  <c r="F186" i="38"/>
  <c r="I186" i="38" s="1"/>
  <c r="C185" i="38"/>
  <c r="C184" i="38"/>
  <c r="C183" i="38"/>
  <c r="C179" i="38"/>
  <c r="C178" i="38"/>
  <c r="C177" i="38"/>
  <c r="C176" i="38"/>
  <c r="C174" i="38"/>
  <c r="C172" i="38"/>
  <c r="C171" i="38"/>
  <c r="C170" i="38"/>
  <c r="C169" i="38"/>
  <c r="C165" i="38"/>
  <c r="C164" i="38"/>
  <c r="C163" i="38"/>
  <c r="C162" i="38"/>
  <c r="C160" i="38"/>
  <c r="C158" i="38"/>
  <c r="C157" i="38"/>
  <c r="C156" i="38"/>
  <c r="C155" i="38"/>
  <c r="C153" i="38"/>
  <c r="H151" i="38"/>
  <c r="F151" i="38"/>
  <c r="C151" i="38"/>
  <c r="H150" i="38"/>
  <c r="F150" i="38"/>
  <c r="I150" i="38" s="1"/>
  <c r="C150" i="38"/>
  <c r="H149" i="38"/>
  <c r="F149" i="38"/>
  <c r="H145" i="38"/>
  <c r="F145" i="38"/>
  <c r="I145" i="38" s="1"/>
  <c r="C144" i="38"/>
  <c r="C143" i="38"/>
  <c r="C142" i="38"/>
  <c r="C141" i="38"/>
  <c r="C140" i="38"/>
  <c r="C139" i="38"/>
  <c r="I138" i="38"/>
  <c r="H138" i="38"/>
  <c r="F138" i="38"/>
  <c r="F137" i="38"/>
  <c r="I134" i="38"/>
  <c r="H134" i="38"/>
  <c r="F134" i="38"/>
  <c r="H133" i="38"/>
  <c r="F133" i="38"/>
  <c r="H132" i="38"/>
  <c r="F132" i="38"/>
  <c r="I132" i="38" s="1"/>
  <c r="H131" i="38"/>
  <c r="F131" i="38"/>
  <c r="I131" i="38" s="1"/>
  <c r="I130" i="38"/>
  <c r="H130" i="38"/>
  <c r="F130" i="38"/>
  <c r="H129" i="38"/>
  <c r="F129" i="38"/>
  <c r="H128" i="38"/>
  <c r="F128" i="38"/>
  <c r="I124" i="38"/>
  <c r="H124" i="38"/>
  <c r="F124" i="38"/>
  <c r="H123" i="38"/>
  <c r="F123" i="38"/>
  <c r="H122" i="38"/>
  <c r="F122" i="38"/>
  <c r="I122" i="38" s="1"/>
  <c r="H121" i="38"/>
  <c r="F121" i="38"/>
  <c r="I121" i="38" s="1"/>
  <c r="I120" i="38"/>
  <c r="H120" i="38"/>
  <c r="F120" i="38"/>
  <c r="H119" i="38"/>
  <c r="F119" i="38"/>
  <c r="H118" i="38"/>
  <c r="F118" i="38"/>
  <c r="I118" i="38" s="1"/>
  <c r="H117" i="38"/>
  <c r="F117" i="38"/>
  <c r="I117" i="38" s="1"/>
  <c r="I116" i="38"/>
  <c r="H116" i="38"/>
  <c r="F116" i="38"/>
  <c r="H115" i="38"/>
  <c r="F115" i="38"/>
  <c r="F113" i="38"/>
  <c r="H112" i="38"/>
  <c r="F112" i="38"/>
  <c r="I112" i="38" s="1"/>
  <c r="I111" i="38"/>
  <c r="H111" i="38"/>
  <c r="F111" i="38"/>
  <c r="H110" i="38"/>
  <c r="F110" i="38"/>
  <c r="H109" i="38"/>
  <c r="F109" i="38"/>
  <c r="I109" i="38" s="1"/>
  <c r="H108" i="38"/>
  <c r="F108" i="38"/>
  <c r="I108" i="38" s="1"/>
  <c r="I107" i="38"/>
  <c r="H107" i="38"/>
  <c r="F107" i="38"/>
  <c r="H106" i="38"/>
  <c r="F106" i="38"/>
  <c r="I106" i="38" s="1"/>
  <c r="H105" i="38"/>
  <c r="F105" i="38"/>
  <c r="I105" i="38" s="1"/>
  <c r="H104" i="38"/>
  <c r="F104" i="38"/>
  <c r="I104" i="38" s="1"/>
  <c r="I103" i="38"/>
  <c r="H103" i="38"/>
  <c r="F103" i="38"/>
  <c r="H102" i="38"/>
  <c r="H113" i="38" s="1"/>
  <c r="F102" i="38"/>
  <c r="F100" i="38"/>
  <c r="H99" i="38"/>
  <c r="F99" i="38"/>
  <c r="I99" i="38" s="1"/>
  <c r="I98" i="38"/>
  <c r="H98" i="38"/>
  <c r="F98" i="38"/>
  <c r="H97" i="38"/>
  <c r="F97" i="38"/>
  <c r="H96" i="38"/>
  <c r="F96" i="38"/>
  <c r="I96" i="38" s="1"/>
  <c r="H95" i="38"/>
  <c r="F95" i="38"/>
  <c r="I95" i="38" s="1"/>
  <c r="I94" i="38"/>
  <c r="H94" i="38"/>
  <c r="F94" i="38"/>
  <c r="K93" i="38"/>
  <c r="I93" i="38"/>
  <c r="H93" i="38"/>
  <c r="F93" i="38"/>
  <c r="H90" i="38"/>
  <c r="F90" i="38"/>
  <c r="I90" i="38" s="1"/>
  <c r="H89" i="38"/>
  <c r="F89" i="38"/>
  <c r="I89" i="38" s="1"/>
  <c r="C88" i="38"/>
  <c r="H88" i="38" s="1"/>
  <c r="I87" i="38"/>
  <c r="H87" i="38"/>
  <c r="F87" i="38"/>
  <c r="H86" i="38"/>
  <c r="I86" i="38" s="1"/>
  <c r="F86" i="38"/>
  <c r="H85" i="38"/>
  <c r="F85" i="38"/>
  <c r="I85" i="38" s="1"/>
  <c r="H84" i="38"/>
  <c r="F84" i="38"/>
  <c r="I84" i="38" s="1"/>
  <c r="I83" i="38"/>
  <c r="H83" i="38"/>
  <c r="F83" i="38"/>
  <c r="H82" i="38"/>
  <c r="H91" i="38" s="1"/>
  <c r="F82" i="38"/>
  <c r="H81" i="38"/>
  <c r="F81" i="38"/>
  <c r="I81" i="38" s="1"/>
  <c r="H80" i="38"/>
  <c r="F80" i="38"/>
  <c r="I80" i="38" s="1"/>
  <c r="I79" i="38"/>
  <c r="H79" i="38"/>
  <c r="F79" i="38"/>
  <c r="H75" i="38"/>
  <c r="F75" i="38"/>
  <c r="I75" i="38" s="1"/>
  <c r="H74" i="38"/>
  <c r="F74" i="38"/>
  <c r="I74" i="38" s="1"/>
  <c r="I73" i="38"/>
  <c r="H73" i="38"/>
  <c r="F73" i="38"/>
  <c r="H72" i="38"/>
  <c r="H76" i="38" s="1"/>
  <c r="F72" i="38"/>
  <c r="I72" i="38" s="1"/>
  <c r="H71" i="38"/>
  <c r="F71" i="38"/>
  <c r="I71" i="38" s="1"/>
  <c r="H70" i="38"/>
  <c r="F70" i="38"/>
  <c r="H67" i="38"/>
  <c r="F67" i="38"/>
  <c r="H66" i="38"/>
  <c r="F66" i="38"/>
  <c r="I66" i="38" s="1"/>
  <c r="H65" i="38"/>
  <c r="F65" i="38"/>
  <c r="I65" i="38" s="1"/>
  <c r="F64" i="38"/>
  <c r="C64" i="38"/>
  <c r="H64" i="38" s="1"/>
  <c r="I64" i="38" s="1"/>
  <c r="I63" i="38"/>
  <c r="H63" i="38"/>
  <c r="F63" i="38"/>
  <c r="H62" i="38"/>
  <c r="F62" i="38"/>
  <c r="H61" i="38"/>
  <c r="F61" i="38"/>
  <c r="I61" i="38" s="1"/>
  <c r="H60" i="38"/>
  <c r="F60" i="38"/>
  <c r="I60" i="38" s="1"/>
  <c r="I59" i="38"/>
  <c r="H59" i="38"/>
  <c r="F59" i="38"/>
  <c r="F68" i="38" s="1"/>
  <c r="F56" i="38"/>
  <c r="I56" i="38" s="1"/>
  <c r="C56" i="38"/>
  <c r="H56" i="38" s="1"/>
  <c r="F55" i="38"/>
  <c r="I55" i="38" s="1"/>
  <c r="C55" i="38"/>
  <c r="H55" i="38" s="1"/>
  <c r="F54" i="38"/>
  <c r="I54" i="38" s="1"/>
  <c r="C54" i="38"/>
  <c r="H54" i="38" s="1"/>
  <c r="F53" i="38"/>
  <c r="I53" i="38" s="1"/>
  <c r="C53" i="38"/>
  <c r="H53" i="38" s="1"/>
  <c r="H57" i="38" s="1"/>
  <c r="H52" i="38"/>
  <c r="F52" i="38"/>
  <c r="I52" i="38" s="1"/>
  <c r="H51" i="38"/>
  <c r="F51" i="38"/>
  <c r="I51" i="38" s="1"/>
  <c r="I50" i="38"/>
  <c r="H50" i="38"/>
  <c r="F50" i="38"/>
  <c r="F57" i="38" s="1"/>
  <c r="H47" i="38"/>
  <c r="F47" i="38"/>
  <c r="I47" i="38" s="1"/>
  <c r="H46" i="38"/>
  <c r="F46" i="38"/>
  <c r="I46" i="38" s="1"/>
  <c r="F45" i="38"/>
  <c r="C45" i="38"/>
  <c r="H45" i="38" s="1"/>
  <c r="H48" i="38" s="1"/>
  <c r="I44" i="38"/>
  <c r="F44" i="38"/>
  <c r="C44" i="38"/>
  <c r="H44" i="38" s="1"/>
  <c r="I43" i="38"/>
  <c r="H43" i="38"/>
  <c r="F43" i="38"/>
  <c r="F48" i="38" s="1"/>
  <c r="I40" i="38"/>
  <c r="H40" i="38"/>
  <c r="F40" i="38"/>
  <c r="H39" i="38"/>
  <c r="C39" i="38"/>
  <c r="F39" i="38" s="1"/>
  <c r="H38" i="38"/>
  <c r="C38" i="38"/>
  <c r="F38" i="38" s="1"/>
  <c r="I38" i="38" s="1"/>
  <c r="H35" i="38"/>
  <c r="F35" i="38"/>
  <c r="I35" i="38" s="1"/>
  <c r="M33" i="38" s="1"/>
  <c r="O33" i="38" s="1"/>
  <c r="H34" i="38"/>
  <c r="F34" i="38"/>
  <c r="I34" i="38" s="1"/>
  <c r="H33" i="38"/>
  <c r="F33" i="38"/>
  <c r="I33" i="38" s="1"/>
  <c r="H32" i="38"/>
  <c r="F32" i="38"/>
  <c r="I32" i="38" s="1"/>
  <c r="I31" i="38"/>
  <c r="H31" i="38"/>
  <c r="F31" i="38"/>
  <c r="H29" i="38"/>
  <c r="H36" i="38" s="1"/>
  <c r="F29" i="38"/>
  <c r="F36" i="38" s="1"/>
  <c r="H26" i="38"/>
  <c r="F26" i="38"/>
  <c r="I26" i="38" s="1"/>
  <c r="M24" i="38"/>
  <c r="M27" i="38" s="1"/>
  <c r="H22" i="38"/>
  <c r="F22" i="38"/>
  <c r="I22" i="38" s="1"/>
  <c r="H14" i="38"/>
  <c r="F14" i="38"/>
  <c r="I14" i="38" s="1"/>
  <c r="H13" i="38"/>
  <c r="F13" i="38"/>
  <c r="I13" i="38" s="1"/>
  <c r="I12" i="38"/>
  <c r="H12" i="38"/>
  <c r="F12" i="38"/>
  <c r="H11" i="38"/>
  <c r="C11" i="38"/>
  <c r="F11" i="38" s="1"/>
  <c r="O5" i="38"/>
  <c r="O7" i="38" s="1"/>
  <c r="H168" i="40" l="1"/>
  <c r="F168" i="40"/>
  <c r="I168" i="40" s="1"/>
  <c r="H146" i="40"/>
  <c r="F146" i="40"/>
  <c r="I146" i="40" s="1"/>
  <c r="H153" i="40"/>
  <c r="F153" i="40"/>
  <c r="I153" i="40" s="1"/>
  <c r="H160" i="40"/>
  <c r="F160" i="40"/>
  <c r="I160" i="40" s="1"/>
  <c r="H167" i="40"/>
  <c r="F167" i="40"/>
  <c r="I167" i="40" s="1"/>
  <c r="H174" i="40"/>
  <c r="F174" i="40"/>
  <c r="I174" i="40" s="1"/>
  <c r="H82" i="40"/>
  <c r="I73" i="40"/>
  <c r="I80" i="40"/>
  <c r="I81" i="40"/>
  <c r="F91" i="40"/>
  <c r="I94" i="40"/>
  <c r="I187" i="40"/>
  <c r="I192" i="40"/>
  <c r="I204" i="40"/>
  <c r="H15" i="40"/>
  <c r="I13" i="40"/>
  <c r="H47" i="40"/>
  <c r="I41" i="40"/>
  <c r="I52" i="40"/>
  <c r="I63" i="40"/>
  <c r="I102" i="40"/>
  <c r="I103" i="40"/>
  <c r="I109" i="40"/>
  <c r="I113" i="40"/>
  <c r="I115" i="40"/>
  <c r="I122" i="40"/>
  <c r="I123" i="40"/>
  <c r="I136" i="40"/>
  <c r="I197" i="40"/>
  <c r="I198" i="40" s="1"/>
  <c r="I219" i="40"/>
  <c r="I34" i="40"/>
  <c r="I49" i="40"/>
  <c r="I128" i="40"/>
  <c r="H38" i="40"/>
  <c r="F45" i="40"/>
  <c r="I45" i="40" s="1"/>
  <c r="H57" i="40"/>
  <c r="I50" i="40"/>
  <c r="H67" i="40"/>
  <c r="I70" i="40"/>
  <c r="I76" i="40"/>
  <c r="H91" i="40"/>
  <c r="I85" i="40"/>
  <c r="I87" i="40"/>
  <c r="F104" i="40"/>
  <c r="I97" i="40"/>
  <c r="I99" i="40"/>
  <c r="F126" i="40"/>
  <c r="I121" i="40"/>
  <c r="I125" i="40"/>
  <c r="I129" i="40"/>
  <c r="I216" i="40"/>
  <c r="I222" i="40"/>
  <c r="H224" i="40"/>
  <c r="F32" i="40"/>
  <c r="H32" i="40"/>
  <c r="F53" i="40"/>
  <c r="I53" i="40" s="1"/>
  <c r="I89" i="40"/>
  <c r="I210" i="40"/>
  <c r="I40" i="40"/>
  <c r="F44" i="40"/>
  <c r="I44" i="40" s="1"/>
  <c r="I86" i="40"/>
  <c r="I120" i="40"/>
  <c r="I194" i="40"/>
  <c r="G195" i="40" s="1"/>
  <c r="H195" i="40" s="1"/>
  <c r="I195" i="40" s="1"/>
  <c r="I217" i="40"/>
  <c r="I14" i="40"/>
  <c r="I66" i="40"/>
  <c r="I124" i="40"/>
  <c r="I177" i="40"/>
  <c r="I184" i="40"/>
  <c r="I191" i="40"/>
  <c r="I218" i="40"/>
  <c r="I74" i="40"/>
  <c r="I78" i="40"/>
  <c r="I107" i="40"/>
  <c r="I111" i="40"/>
  <c r="F141" i="40"/>
  <c r="I98" i="40"/>
  <c r="I202" i="40"/>
  <c r="I71" i="40"/>
  <c r="I108" i="40"/>
  <c r="I112" i="40"/>
  <c r="I188" i="40"/>
  <c r="I29" i="40"/>
  <c r="I30" i="40"/>
  <c r="F42" i="40"/>
  <c r="I42" i="40" s="1"/>
  <c r="I55" i="40"/>
  <c r="N201" i="40"/>
  <c r="I189" i="40"/>
  <c r="F228" i="40"/>
  <c r="I213" i="40"/>
  <c r="F43" i="40"/>
  <c r="I43" i="40" s="1"/>
  <c r="I77" i="40"/>
  <c r="F142" i="40"/>
  <c r="I226" i="40"/>
  <c r="I227" i="40" s="1"/>
  <c r="I90" i="40"/>
  <c r="I95" i="40"/>
  <c r="H142" i="40"/>
  <c r="I31" i="40"/>
  <c r="M34" i="40" s="1"/>
  <c r="O34" i="40" s="1"/>
  <c r="I64" i="40"/>
  <c r="I75" i="40"/>
  <c r="I84" i="40"/>
  <c r="I96" i="40"/>
  <c r="I223" i="40"/>
  <c r="F15" i="40"/>
  <c r="I36" i="40"/>
  <c r="I54" i="40"/>
  <c r="I72" i="40"/>
  <c r="I100" i="40"/>
  <c r="I205" i="40"/>
  <c r="I211" i="40"/>
  <c r="F19" i="29"/>
  <c r="I19" i="29" s="1"/>
  <c r="H134" i="40"/>
  <c r="F134" i="40"/>
  <c r="H165" i="40"/>
  <c r="F165" i="40"/>
  <c r="I12" i="40"/>
  <c r="H23" i="40"/>
  <c r="I119" i="40"/>
  <c r="H155" i="40"/>
  <c r="F155" i="40"/>
  <c r="C180" i="40"/>
  <c r="F21" i="40"/>
  <c r="I21" i="40" s="1"/>
  <c r="I23" i="40" s="1"/>
  <c r="I51" i="40"/>
  <c r="I56" i="40"/>
  <c r="I88" i="40"/>
  <c r="I93" i="40"/>
  <c r="I110" i="40"/>
  <c r="H130" i="40"/>
  <c r="F130" i="40"/>
  <c r="I141" i="40"/>
  <c r="H147" i="40"/>
  <c r="F147" i="40"/>
  <c r="H151" i="40"/>
  <c r="F151" i="40"/>
  <c r="H156" i="40"/>
  <c r="F156" i="40"/>
  <c r="H161" i="40"/>
  <c r="F161" i="40"/>
  <c r="H170" i="40"/>
  <c r="F170" i="40"/>
  <c r="H175" i="40"/>
  <c r="F175" i="40"/>
  <c r="I178" i="40"/>
  <c r="H133" i="40"/>
  <c r="F133" i="40"/>
  <c r="M155" i="40"/>
  <c r="N155" i="40" s="1"/>
  <c r="H169" i="40"/>
  <c r="F169" i="40"/>
  <c r="I25" i="40"/>
  <c r="I32" i="40" s="1"/>
  <c r="H131" i="40"/>
  <c r="F131" i="40"/>
  <c r="H135" i="40"/>
  <c r="F135" i="40"/>
  <c r="H148" i="40"/>
  <c r="F148" i="40"/>
  <c r="C157" i="40"/>
  <c r="H162" i="40"/>
  <c r="F162" i="40"/>
  <c r="C171" i="40"/>
  <c r="C181" i="40"/>
  <c r="H176" i="40"/>
  <c r="F176" i="40"/>
  <c r="C150" i="40"/>
  <c r="C164" i="40"/>
  <c r="I101" i="40"/>
  <c r="I114" i="40"/>
  <c r="H132" i="40"/>
  <c r="F132" i="40"/>
  <c r="H144" i="40"/>
  <c r="F144" i="40"/>
  <c r="H149" i="40"/>
  <c r="F149" i="40"/>
  <c r="H154" i="40"/>
  <c r="F154" i="40"/>
  <c r="C158" i="40"/>
  <c r="H163" i="40"/>
  <c r="F163" i="40"/>
  <c r="C172" i="40"/>
  <c r="I179" i="40"/>
  <c r="M201" i="40"/>
  <c r="I193" i="40"/>
  <c r="I203" i="40"/>
  <c r="I106" i="40"/>
  <c r="I140" i="40"/>
  <c r="H228" i="40"/>
  <c r="I209" i="40"/>
  <c r="F35" i="40"/>
  <c r="I35" i="40" s="1"/>
  <c r="F79" i="40"/>
  <c r="I79" i="40" s="1"/>
  <c r="C143" i="40"/>
  <c r="I59" i="40"/>
  <c r="H135" i="39"/>
  <c r="F135" i="39"/>
  <c r="I135" i="39" s="1"/>
  <c r="F21" i="39"/>
  <c r="H21" i="39"/>
  <c r="H24" i="39" s="1"/>
  <c r="H15" i="39"/>
  <c r="H166" i="39"/>
  <c r="F166" i="39"/>
  <c r="I166" i="39" s="1"/>
  <c r="H33" i="39"/>
  <c r="H156" i="39"/>
  <c r="F156" i="39"/>
  <c r="I156" i="39" s="1"/>
  <c r="C181" i="39"/>
  <c r="H175" i="39"/>
  <c r="F175" i="39"/>
  <c r="F11" i="39"/>
  <c r="C15" i="39"/>
  <c r="H60" i="39"/>
  <c r="H92" i="39"/>
  <c r="I102" i="39"/>
  <c r="F117" i="39"/>
  <c r="H131" i="39"/>
  <c r="F131" i="39"/>
  <c r="I131" i="39" s="1"/>
  <c r="I142" i="39"/>
  <c r="H148" i="39"/>
  <c r="F148" i="39"/>
  <c r="H152" i="39"/>
  <c r="F152" i="39"/>
  <c r="H157" i="39"/>
  <c r="F157" i="39"/>
  <c r="H162" i="39"/>
  <c r="F162" i="39"/>
  <c r="H171" i="39"/>
  <c r="F171" i="39"/>
  <c r="H176" i="39"/>
  <c r="F176" i="39"/>
  <c r="I179" i="39"/>
  <c r="F221" i="39"/>
  <c r="F229" i="39" s="1"/>
  <c r="I120" i="39"/>
  <c r="F127" i="39"/>
  <c r="M144" i="39"/>
  <c r="N144" i="39" s="1"/>
  <c r="H161" i="39"/>
  <c r="F161" i="39"/>
  <c r="I37" i="39"/>
  <c r="I40" i="39" s="1"/>
  <c r="I49" i="39"/>
  <c r="F68" i="39"/>
  <c r="I92" i="39"/>
  <c r="H117" i="39"/>
  <c r="H132" i="39"/>
  <c r="F132" i="39"/>
  <c r="H136" i="39"/>
  <c r="F136" i="39"/>
  <c r="H149" i="39"/>
  <c r="F149" i="39"/>
  <c r="I149" i="39" s="1"/>
  <c r="H154" i="39"/>
  <c r="F154" i="39"/>
  <c r="I154" i="39" s="1"/>
  <c r="C158" i="39"/>
  <c r="H163" i="39"/>
  <c r="F163" i="39"/>
  <c r="H168" i="39"/>
  <c r="F168" i="39"/>
  <c r="C172" i="39"/>
  <c r="C182" i="39"/>
  <c r="H177" i="39"/>
  <c r="F177" i="39"/>
  <c r="I177" i="39" s="1"/>
  <c r="H229" i="39"/>
  <c r="H134" i="39"/>
  <c r="F134" i="39"/>
  <c r="I134" i="39" s="1"/>
  <c r="H147" i="39"/>
  <c r="F147" i="39"/>
  <c r="I147" i="39" s="1"/>
  <c r="C151" i="39"/>
  <c r="C165" i="39"/>
  <c r="H170" i="39"/>
  <c r="F170" i="39"/>
  <c r="I170" i="39" s="1"/>
  <c r="F33" i="39"/>
  <c r="I54" i="39"/>
  <c r="I60" i="39" s="1"/>
  <c r="I74" i="39"/>
  <c r="I83" i="39" s="1"/>
  <c r="I89" i="39"/>
  <c r="I94" i="39"/>
  <c r="I115" i="39"/>
  <c r="H133" i="39"/>
  <c r="F133" i="39"/>
  <c r="I133" i="39" s="1"/>
  <c r="H145" i="39"/>
  <c r="F145" i="39"/>
  <c r="H150" i="39"/>
  <c r="F150" i="39"/>
  <c r="I150" i="39" s="1"/>
  <c r="H155" i="39"/>
  <c r="F155" i="39"/>
  <c r="C159" i="39"/>
  <c r="H164" i="39"/>
  <c r="F164" i="39"/>
  <c r="I164" i="39" s="1"/>
  <c r="H169" i="39"/>
  <c r="F169" i="39"/>
  <c r="I169" i="39" s="1"/>
  <c r="H173" i="39"/>
  <c r="F173" i="39"/>
  <c r="I173" i="39" s="1"/>
  <c r="I180" i="39"/>
  <c r="M190" i="39"/>
  <c r="I194" i="39"/>
  <c r="I204" i="39"/>
  <c r="I207" i="39" s="1"/>
  <c r="I229" i="39" s="1"/>
  <c r="F215" i="39"/>
  <c r="I107" i="39"/>
  <c r="I141" i="39"/>
  <c r="I184" i="39"/>
  <c r="H207" i="39"/>
  <c r="I210" i="39"/>
  <c r="I215" i="39" s="1"/>
  <c r="F80" i="39"/>
  <c r="I80" i="39" s="1"/>
  <c r="C144" i="39"/>
  <c r="I62" i="39"/>
  <c r="I68" i="39" s="1"/>
  <c r="O198" i="38"/>
  <c r="I11" i="38"/>
  <c r="C25" i="38"/>
  <c r="C24" i="38"/>
  <c r="I48" i="38"/>
  <c r="H170" i="38"/>
  <c r="F170" i="38"/>
  <c r="H184" i="38"/>
  <c r="F184" i="38"/>
  <c r="I184" i="38" s="1"/>
  <c r="I29" i="38"/>
  <c r="I36" i="38" s="1"/>
  <c r="I39" i="38"/>
  <c r="I41" i="38" s="1"/>
  <c r="H68" i="38"/>
  <c r="H100" i="38"/>
  <c r="I110" i="38"/>
  <c r="F125" i="38"/>
  <c r="H135" i="38"/>
  <c r="H140" i="38"/>
  <c r="F140" i="38"/>
  <c r="H144" i="38"/>
  <c r="F144" i="38"/>
  <c r="I144" i="38" s="1"/>
  <c r="H157" i="38"/>
  <c r="F157" i="38"/>
  <c r="I157" i="38" s="1"/>
  <c r="H162" i="38"/>
  <c r="F162" i="38"/>
  <c r="C166" i="38"/>
  <c r="H171" i="38"/>
  <c r="F171" i="38"/>
  <c r="I171" i="38" s="1"/>
  <c r="H176" i="38"/>
  <c r="F176" i="38"/>
  <c r="C180" i="38"/>
  <c r="C190" i="38"/>
  <c r="H185" i="38"/>
  <c r="F185" i="38"/>
  <c r="H237" i="38"/>
  <c r="F215" i="38"/>
  <c r="F237" i="38" s="1"/>
  <c r="H229" i="38"/>
  <c r="H143" i="38"/>
  <c r="F143" i="38"/>
  <c r="I143" i="38" s="1"/>
  <c r="H156" i="38"/>
  <c r="F156" i="38"/>
  <c r="H165" i="38"/>
  <c r="F165" i="38"/>
  <c r="I165" i="38" s="1"/>
  <c r="H179" i="38"/>
  <c r="F179" i="38"/>
  <c r="I45" i="38"/>
  <c r="I57" i="38"/>
  <c r="F76" i="38"/>
  <c r="H125" i="38"/>
  <c r="I119" i="38"/>
  <c r="I129" i="38"/>
  <c r="H141" i="38"/>
  <c r="F141" i="38"/>
  <c r="I141" i="38" s="1"/>
  <c r="H153" i="38"/>
  <c r="F153" i="38"/>
  <c r="H158" i="38"/>
  <c r="F158" i="38"/>
  <c r="I158" i="38" s="1"/>
  <c r="H163" i="38"/>
  <c r="F163" i="38"/>
  <c r="C167" i="38"/>
  <c r="H172" i="38"/>
  <c r="F172" i="38"/>
  <c r="H177" i="38"/>
  <c r="F177" i="38"/>
  <c r="I177" i="38" s="1"/>
  <c r="C181" i="38"/>
  <c r="F233" i="38"/>
  <c r="I128" i="38"/>
  <c r="F135" i="38"/>
  <c r="H139" i="38"/>
  <c r="F139" i="38"/>
  <c r="I139" i="38" s="1"/>
  <c r="H160" i="38"/>
  <c r="F160" i="38"/>
  <c r="H174" i="38"/>
  <c r="F174" i="38"/>
  <c r="I174" i="38" s="1"/>
  <c r="I62" i="38"/>
  <c r="I68" i="38" s="1"/>
  <c r="I67" i="38"/>
  <c r="I82" i="38"/>
  <c r="I91" i="38" s="1"/>
  <c r="I97" i="38"/>
  <c r="I100" i="38" s="1"/>
  <c r="I102" i="38"/>
  <c r="I113" i="38" s="1"/>
  <c r="I123" i="38"/>
  <c r="I133" i="38"/>
  <c r="H142" i="38"/>
  <c r="F142" i="38"/>
  <c r="M152" i="38"/>
  <c r="N152" i="38" s="1"/>
  <c r="I151" i="38"/>
  <c r="H155" i="38"/>
  <c r="F155" i="38"/>
  <c r="C159" i="38"/>
  <c r="H164" i="38"/>
  <c r="F164" i="38"/>
  <c r="I164" i="38" s="1"/>
  <c r="H169" i="38"/>
  <c r="F169" i="38"/>
  <c r="C173" i="38"/>
  <c r="H178" i="38"/>
  <c r="F178" i="38"/>
  <c r="C189" i="38"/>
  <c r="H183" i="38"/>
  <c r="F183" i="38"/>
  <c r="I183" i="38" s="1"/>
  <c r="N198" i="38"/>
  <c r="I198" i="38"/>
  <c r="M209" i="38" s="1"/>
  <c r="I228" i="38"/>
  <c r="I229" i="38" s="1"/>
  <c r="I233" i="38"/>
  <c r="I115" i="38"/>
  <c r="I149" i="38"/>
  <c r="H215" i="38"/>
  <c r="I218" i="38"/>
  <c r="I223" i="38" s="1"/>
  <c r="F88" i="38"/>
  <c r="I88" i="38" s="1"/>
  <c r="C152" i="38"/>
  <c r="I70" i="38"/>
  <c r="I76" i="38" s="1"/>
  <c r="I47" i="40" l="1"/>
  <c r="I82" i="40"/>
  <c r="I38" i="40"/>
  <c r="I91" i="40"/>
  <c r="I67" i="40"/>
  <c r="I15" i="40"/>
  <c r="I57" i="40"/>
  <c r="C15" i="42"/>
  <c r="I104" i="40"/>
  <c r="C18" i="42"/>
  <c r="C17" i="42"/>
  <c r="C16" i="42"/>
  <c r="C14" i="42"/>
  <c r="C12" i="42"/>
  <c r="I214" i="40"/>
  <c r="F137" i="40"/>
  <c r="I169" i="40"/>
  <c r="I175" i="40"/>
  <c r="I170" i="40"/>
  <c r="I161" i="40"/>
  <c r="I151" i="40"/>
  <c r="I147" i="40"/>
  <c r="H137" i="40"/>
  <c r="I126" i="40"/>
  <c r="I134" i="40"/>
  <c r="F57" i="40"/>
  <c r="I116" i="40"/>
  <c r="I220" i="40"/>
  <c r="F38" i="40"/>
  <c r="I206" i="40"/>
  <c r="I224" i="40"/>
  <c r="F82" i="40"/>
  <c r="F47" i="40"/>
  <c r="F23" i="40"/>
  <c r="I165" i="40"/>
  <c r="I142" i="40"/>
  <c r="I163" i="40"/>
  <c r="I148" i="40"/>
  <c r="I132" i="40"/>
  <c r="I156" i="40"/>
  <c r="I155" i="40"/>
  <c r="H150" i="40"/>
  <c r="F150" i="40"/>
  <c r="M212" i="40"/>
  <c r="O201" i="40"/>
  <c r="I154" i="40"/>
  <c r="I144" i="40"/>
  <c r="I176" i="40"/>
  <c r="H157" i="40"/>
  <c r="F157" i="40"/>
  <c r="I131" i="40"/>
  <c r="H158" i="40"/>
  <c r="F158" i="40"/>
  <c r="F143" i="40"/>
  <c r="H143" i="40"/>
  <c r="H171" i="40"/>
  <c r="F171" i="40"/>
  <c r="H172" i="40"/>
  <c r="F172" i="40"/>
  <c r="I149" i="40"/>
  <c r="H164" i="40"/>
  <c r="F164" i="40"/>
  <c r="H181" i="40"/>
  <c r="F181" i="40"/>
  <c r="I162" i="40"/>
  <c r="I135" i="40"/>
  <c r="I133" i="40"/>
  <c r="I130" i="40"/>
  <c r="H180" i="40"/>
  <c r="F180" i="40"/>
  <c r="C13" i="42"/>
  <c r="I11" i="39"/>
  <c r="F15" i="39"/>
  <c r="F24" i="39" s="1"/>
  <c r="I117" i="39"/>
  <c r="I105" i="39"/>
  <c r="I168" i="39"/>
  <c r="H158" i="39"/>
  <c r="F158" i="39"/>
  <c r="I158" i="39" s="1"/>
  <c r="I132" i="39"/>
  <c r="I161" i="39"/>
  <c r="I171" i="39"/>
  <c r="I157" i="39"/>
  <c r="I148" i="39"/>
  <c r="H138" i="39"/>
  <c r="I175" i="39"/>
  <c r="I21" i="39"/>
  <c r="H172" i="39"/>
  <c r="F172" i="39"/>
  <c r="I172" i="39" s="1"/>
  <c r="F144" i="39"/>
  <c r="H144" i="39"/>
  <c r="H159" i="39"/>
  <c r="F159" i="39"/>
  <c r="I159" i="39" s="1"/>
  <c r="H165" i="39"/>
  <c r="F165" i="39"/>
  <c r="I165" i="39" s="1"/>
  <c r="I127" i="39"/>
  <c r="M139" i="39"/>
  <c r="F138" i="39"/>
  <c r="M201" i="39"/>
  <c r="O190" i="39"/>
  <c r="I155" i="39"/>
  <c r="I145" i="39"/>
  <c r="H151" i="39"/>
  <c r="F151" i="39"/>
  <c r="H182" i="39"/>
  <c r="F182" i="39"/>
  <c r="I163" i="39"/>
  <c r="I136" i="39"/>
  <c r="F83" i="39"/>
  <c r="I176" i="39"/>
  <c r="I162" i="39"/>
  <c r="I152" i="39"/>
  <c r="H181" i="39"/>
  <c r="F181" i="39"/>
  <c r="I237" i="38"/>
  <c r="H181" i="38"/>
  <c r="F181" i="38"/>
  <c r="I181" i="38" s="1"/>
  <c r="H190" i="38"/>
  <c r="F190" i="38"/>
  <c r="I190" i="38" s="1"/>
  <c r="F24" i="38"/>
  <c r="H24" i="38"/>
  <c r="H173" i="38"/>
  <c r="F173" i="38"/>
  <c r="F91" i="38"/>
  <c r="H167" i="38"/>
  <c r="F167" i="38"/>
  <c r="I167" i="38" s="1"/>
  <c r="H180" i="38"/>
  <c r="F180" i="38"/>
  <c r="I180" i="38" s="1"/>
  <c r="F23" i="38"/>
  <c r="H23" i="38"/>
  <c r="H189" i="38"/>
  <c r="F189" i="38"/>
  <c r="I189" i="38" s="1"/>
  <c r="I169" i="38"/>
  <c r="H159" i="38"/>
  <c r="F159" i="38"/>
  <c r="H146" i="38"/>
  <c r="I163" i="38"/>
  <c r="I153" i="38"/>
  <c r="I185" i="38"/>
  <c r="I176" i="38"/>
  <c r="H166" i="38"/>
  <c r="F166" i="38"/>
  <c r="I166" i="38" s="1"/>
  <c r="I140" i="38"/>
  <c r="I170" i="38"/>
  <c r="F25" i="38"/>
  <c r="H25" i="38"/>
  <c r="I135" i="38"/>
  <c r="M147" i="38"/>
  <c r="F146" i="38"/>
  <c r="I125" i="38"/>
  <c r="F152" i="38"/>
  <c r="H152" i="38"/>
  <c r="I178" i="38"/>
  <c r="I155" i="38"/>
  <c r="I142" i="38"/>
  <c r="I160" i="38"/>
  <c r="I172" i="38"/>
  <c r="I179" i="38"/>
  <c r="I156" i="38"/>
  <c r="I162" i="38"/>
  <c r="I137" i="40" l="1"/>
  <c r="I228" i="40"/>
  <c r="C20" i="42" s="1"/>
  <c r="I171" i="40"/>
  <c r="H196" i="40"/>
  <c r="H199" i="40" s="1"/>
  <c r="F196" i="40"/>
  <c r="F199" i="40" s="1"/>
  <c r="I150" i="40"/>
  <c r="M150" i="40"/>
  <c r="I180" i="40"/>
  <c r="I181" i="40"/>
  <c r="I164" i="40"/>
  <c r="I157" i="40"/>
  <c r="I143" i="40"/>
  <c r="I172" i="40"/>
  <c r="I158" i="40"/>
  <c r="H200" i="39"/>
  <c r="I15" i="39"/>
  <c r="I24" i="39"/>
  <c r="I181" i="39"/>
  <c r="I182" i="39"/>
  <c r="I138" i="39"/>
  <c r="H197" i="39"/>
  <c r="I151" i="39"/>
  <c r="I144" i="39"/>
  <c r="F197" i="39"/>
  <c r="F200" i="39" s="1"/>
  <c r="F208" i="38"/>
  <c r="I23" i="38"/>
  <c r="F27" i="38"/>
  <c r="H205" i="38"/>
  <c r="H208" i="38" s="1"/>
  <c r="H27" i="38"/>
  <c r="I25" i="38"/>
  <c r="I152" i="38"/>
  <c r="F205" i="38"/>
  <c r="I146" i="38"/>
  <c r="I159" i="38"/>
  <c r="I173" i="38"/>
  <c r="I24" i="38"/>
  <c r="I196" i="40" l="1"/>
  <c r="I199" i="40" s="1"/>
  <c r="I197" i="39"/>
  <c r="I200" i="39" s="1"/>
  <c r="I230" i="39" s="1"/>
  <c r="I27" i="38"/>
  <c r="I205" i="38"/>
  <c r="I208" i="38" s="1"/>
  <c r="C55" i="29"/>
  <c r="C166" i="29"/>
  <c r="F166" i="29" s="1"/>
  <c r="C19" i="42" l="1"/>
  <c r="I229" i="40"/>
  <c r="I238" i="38"/>
  <c r="H166" i="29"/>
  <c r="I166" i="29" s="1"/>
  <c r="C150" i="29" l="1"/>
  <c r="H150" i="29" s="1"/>
  <c r="C163" i="29"/>
  <c r="H163" i="29" s="1"/>
  <c r="C179" i="29"/>
  <c r="C184" i="29" s="1"/>
  <c r="C178" i="29"/>
  <c r="H178" i="29" s="1"/>
  <c r="C177" i="29"/>
  <c r="H177" i="29" s="1"/>
  <c r="C165" i="29"/>
  <c r="H165" i="29" s="1"/>
  <c r="C173" i="29"/>
  <c r="C175" i="29" s="1"/>
  <c r="C172" i="29"/>
  <c r="H172" i="29" s="1"/>
  <c r="C170" i="29"/>
  <c r="H170" i="29" s="1"/>
  <c r="C164" i="29"/>
  <c r="H164" i="29" s="1"/>
  <c r="C171" i="29"/>
  <c r="H171" i="29" s="1"/>
  <c r="C157" i="29"/>
  <c r="H157" i="29" s="1"/>
  <c r="C159" i="29"/>
  <c r="H159" i="29" s="1"/>
  <c r="C152" i="29"/>
  <c r="C154" i="29" s="1"/>
  <c r="C158" i="29"/>
  <c r="H158" i="29" s="1"/>
  <c r="C156" i="29"/>
  <c r="F156" i="29" s="1"/>
  <c r="C149" i="29"/>
  <c r="F149" i="29" s="1"/>
  <c r="C145" i="29"/>
  <c r="C147" i="29" s="1"/>
  <c r="C151" i="29"/>
  <c r="H151" i="29" s="1"/>
  <c r="C144" i="29"/>
  <c r="C146" i="29" s="1"/>
  <c r="H197" i="29"/>
  <c r="F197" i="29"/>
  <c r="F198" i="29"/>
  <c r="H64" i="29"/>
  <c r="H65" i="29"/>
  <c r="F64" i="29"/>
  <c r="F65" i="29"/>
  <c r="H51" i="29"/>
  <c r="H55" i="29"/>
  <c r="F58" i="29"/>
  <c r="F54" i="29"/>
  <c r="F53" i="29"/>
  <c r="H57" i="29"/>
  <c r="F57" i="29"/>
  <c r="H56" i="29"/>
  <c r="F56" i="29"/>
  <c r="G182" i="29"/>
  <c r="H182" i="29" s="1"/>
  <c r="E182" i="29"/>
  <c r="H181" i="29"/>
  <c r="F181" i="29"/>
  <c r="H180" i="29"/>
  <c r="F180" i="29"/>
  <c r="C136" i="29"/>
  <c r="H136" i="29" s="1"/>
  <c r="H52" i="29"/>
  <c r="H93" i="29"/>
  <c r="F93" i="29"/>
  <c r="H92" i="29"/>
  <c r="F92" i="29"/>
  <c r="C133" i="29"/>
  <c r="F133" i="29" s="1"/>
  <c r="H139" i="29"/>
  <c r="F139" i="29"/>
  <c r="C138" i="29"/>
  <c r="C134" i="29"/>
  <c r="C135" i="29"/>
  <c r="H194" i="29"/>
  <c r="H195" i="29"/>
  <c r="H196" i="29"/>
  <c r="F194" i="29"/>
  <c r="F195" i="29"/>
  <c r="F196" i="29"/>
  <c r="F187" i="29"/>
  <c r="H187" i="29"/>
  <c r="H143" i="29"/>
  <c r="F143" i="29"/>
  <c r="F190" i="29"/>
  <c r="H128" i="29"/>
  <c r="F128" i="29"/>
  <c r="F172" i="29" l="1"/>
  <c r="H179" i="29"/>
  <c r="C153" i="29"/>
  <c r="F153" i="29" s="1"/>
  <c r="F158" i="29"/>
  <c r="I158" i="29" s="1"/>
  <c r="H152" i="29"/>
  <c r="I139" i="29"/>
  <c r="F184" i="29"/>
  <c r="H184" i="29"/>
  <c r="I184" i="29" s="1"/>
  <c r="H146" i="29"/>
  <c r="F146" i="29"/>
  <c r="H147" i="29"/>
  <c r="F147" i="29"/>
  <c r="I197" i="29"/>
  <c r="C161" i="29"/>
  <c r="H175" i="29"/>
  <c r="F175" i="29"/>
  <c r="I175" i="29" s="1"/>
  <c r="H153" i="29"/>
  <c r="H145" i="29"/>
  <c r="F154" i="29"/>
  <c r="H154" i="29"/>
  <c r="F178" i="29"/>
  <c r="I178" i="29" s="1"/>
  <c r="C183" i="29"/>
  <c r="F179" i="29"/>
  <c r="I179" i="29" s="1"/>
  <c r="F173" i="29"/>
  <c r="H173" i="29"/>
  <c r="C174" i="29"/>
  <c r="C168" i="29"/>
  <c r="F165" i="29"/>
  <c r="I165" i="29" s="1"/>
  <c r="F164" i="29"/>
  <c r="I164" i="29" s="1"/>
  <c r="C167" i="29"/>
  <c r="F159" i="29"/>
  <c r="I159" i="29" s="1"/>
  <c r="C160" i="29"/>
  <c r="F152" i="29"/>
  <c r="F151" i="29"/>
  <c r="M146" i="29"/>
  <c r="N146" i="29" s="1"/>
  <c r="F145" i="29"/>
  <c r="F144" i="29"/>
  <c r="I64" i="29"/>
  <c r="I65" i="29"/>
  <c r="F55" i="29"/>
  <c r="I55" i="29" s="1"/>
  <c r="I57" i="29"/>
  <c r="I56" i="29"/>
  <c r="H54" i="29"/>
  <c r="I54" i="29" s="1"/>
  <c r="H53" i="29"/>
  <c r="I53" i="29" s="1"/>
  <c r="I180" i="29"/>
  <c r="I181" i="29"/>
  <c r="F182" i="29"/>
  <c r="I182" i="29" s="1"/>
  <c r="I93" i="29"/>
  <c r="I92" i="29"/>
  <c r="F170" i="29"/>
  <c r="I170" i="29" s="1"/>
  <c r="F171" i="29"/>
  <c r="I171" i="29" s="1"/>
  <c r="F51" i="29"/>
  <c r="I51" i="29" s="1"/>
  <c r="F163" i="29"/>
  <c r="I163" i="29" s="1"/>
  <c r="H149" i="29"/>
  <c r="I149" i="29" s="1"/>
  <c r="F177" i="29"/>
  <c r="I177" i="29" s="1"/>
  <c r="H156" i="29"/>
  <c r="I156" i="29" s="1"/>
  <c r="H144" i="29"/>
  <c r="F157" i="29"/>
  <c r="I157" i="29" s="1"/>
  <c r="F150" i="29"/>
  <c r="I150" i="29" s="1"/>
  <c r="F52" i="29"/>
  <c r="I52" i="29" s="1"/>
  <c r="H133" i="29"/>
  <c r="I133" i="29" s="1"/>
  <c r="I196" i="29"/>
  <c r="I194" i="29"/>
  <c r="I195" i="29"/>
  <c r="I187" i="29"/>
  <c r="C137" i="29"/>
  <c r="H137" i="29" s="1"/>
  <c r="F136" i="29"/>
  <c r="I136" i="29" s="1"/>
  <c r="I172" i="29"/>
  <c r="I151" i="29"/>
  <c r="I128" i="29"/>
  <c r="I143" i="29"/>
  <c r="H84" i="29"/>
  <c r="F84" i="29"/>
  <c r="C82" i="29"/>
  <c r="H138" i="29"/>
  <c r="F138" i="29"/>
  <c r="H83" i="29"/>
  <c r="F83" i="29"/>
  <c r="I152" i="29" l="1"/>
  <c r="I153" i="29"/>
  <c r="I146" i="29"/>
  <c r="I145" i="29"/>
  <c r="I147" i="29"/>
  <c r="I154" i="29"/>
  <c r="I144" i="29"/>
  <c r="F168" i="29"/>
  <c r="H168" i="29"/>
  <c r="G198" i="29"/>
  <c r="H198" i="29" s="1"/>
  <c r="I198" i="29" s="1"/>
  <c r="F167" i="29"/>
  <c r="H167" i="29"/>
  <c r="H174" i="29"/>
  <c r="F174" i="29"/>
  <c r="H183" i="29"/>
  <c r="F183" i="29"/>
  <c r="H160" i="29"/>
  <c r="F160" i="29"/>
  <c r="H161" i="29"/>
  <c r="F161" i="29"/>
  <c r="I173" i="29"/>
  <c r="F137" i="29"/>
  <c r="I84" i="29"/>
  <c r="F62" i="29"/>
  <c r="H62" i="29"/>
  <c r="F63" i="29"/>
  <c r="H63" i="29"/>
  <c r="H58" i="29"/>
  <c r="C47" i="29"/>
  <c r="H47" i="29" s="1"/>
  <c r="C46" i="29"/>
  <c r="H46" i="29" s="1"/>
  <c r="C45" i="29"/>
  <c r="H45" i="29" s="1"/>
  <c r="C44" i="29"/>
  <c r="H44" i="29" s="1"/>
  <c r="I168" i="29" l="1"/>
  <c r="I183" i="29"/>
  <c r="I174" i="29"/>
  <c r="I160" i="29"/>
  <c r="I167" i="29"/>
  <c r="I161" i="29"/>
  <c r="I63" i="29"/>
  <c r="I62" i="29"/>
  <c r="I58" i="29"/>
  <c r="F47" i="29"/>
  <c r="I47" i="29" s="1"/>
  <c r="F46" i="29"/>
  <c r="I46" i="29" s="1"/>
  <c r="F45" i="29"/>
  <c r="I45" i="29" s="1"/>
  <c r="F44" i="29"/>
  <c r="I44" i="29" s="1"/>
  <c r="H109" i="29" l="1"/>
  <c r="H110" i="29"/>
  <c r="H111" i="29"/>
  <c r="H112" i="29"/>
  <c r="H113" i="29"/>
  <c r="H114" i="29"/>
  <c r="H115" i="29"/>
  <c r="H116" i="29"/>
  <c r="H117" i="29"/>
  <c r="H118" i="29"/>
  <c r="F109" i="29"/>
  <c r="F110" i="29"/>
  <c r="F111" i="29"/>
  <c r="F112" i="29"/>
  <c r="F113" i="29"/>
  <c r="F114" i="29"/>
  <c r="F115" i="29"/>
  <c r="F116" i="29"/>
  <c r="F117" i="29"/>
  <c r="F118" i="29"/>
  <c r="H96" i="29"/>
  <c r="H97" i="29"/>
  <c r="H98" i="29"/>
  <c r="H99" i="29"/>
  <c r="H100" i="29"/>
  <c r="H101" i="29"/>
  <c r="H102" i="29"/>
  <c r="H103" i="29"/>
  <c r="H104" i="29"/>
  <c r="H105" i="29"/>
  <c r="H106" i="29"/>
  <c r="F96" i="29"/>
  <c r="F97" i="29"/>
  <c r="F98" i="29"/>
  <c r="F99" i="29"/>
  <c r="F100" i="29"/>
  <c r="F101" i="29"/>
  <c r="F102" i="29"/>
  <c r="F103" i="29"/>
  <c r="F104" i="29"/>
  <c r="F105" i="29"/>
  <c r="F106" i="29"/>
  <c r="H88" i="29"/>
  <c r="H89" i="29"/>
  <c r="H90" i="29"/>
  <c r="H91" i="29"/>
  <c r="H87" i="29"/>
  <c r="F88" i="29"/>
  <c r="F89" i="29"/>
  <c r="F90" i="29"/>
  <c r="F91" i="29"/>
  <c r="F87" i="29"/>
  <c r="H73" i="29"/>
  <c r="H74" i="29"/>
  <c r="H75" i="29"/>
  <c r="H76" i="29"/>
  <c r="H77" i="29"/>
  <c r="H78" i="29"/>
  <c r="H79" i="29"/>
  <c r="H80" i="29"/>
  <c r="H81" i="29"/>
  <c r="H82" i="29"/>
  <c r="F73" i="29"/>
  <c r="F74" i="29"/>
  <c r="F75" i="29"/>
  <c r="F76" i="29"/>
  <c r="F77" i="29"/>
  <c r="F78" i="29"/>
  <c r="F79" i="29"/>
  <c r="F80" i="29"/>
  <c r="F81" i="29"/>
  <c r="F82" i="29"/>
  <c r="F94" i="29" l="1"/>
  <c r="F85" i="29"/>
  <c r="H85" i="29"/>
  <c r="H107" i="29"/>
  <c r="H119" i="29"/>
  <c r="F107" i="29"/>
  <c r="H94" i="29"/>
  <c r="F119" i="29"/>
  <c r="I90" i="29"/>
  <c r="I89" i="29"/>
  <c r="I98" i="29"/>
  <c r="I91" i="29"/>
  <c r="I87" i="29"/>
  <c r="I110" i="29"/>
  <c r="I82" i="29"/>
  <c r="I88" i="29"/>
  <c r="I117" i="29"/>
  <c r="I118" i="29"/>
  <c r="I116" i="29"/>
  <c r="I115" i="29"/>
  <c r="I114" i="29"/>
  <c r="I113" i="29"/>
  <c r="I112" i="29"/>
  <c r="I111" i="29"/>
  <c r="I109" i="29"/>
  <c r="I106" i="29"/>
  <c r="I105" i="29"/>
  <c r="I104" i="29"/>
  <c r="I103" i="29"/>
  <c r="I102" i="29"/>
  <c r="I101" i="29"/>
  <c r="I100" i="29"/>
  <c r="I99" i="29"/>
  <c r="I97" i="29"/>
  <c r="I96" i="29"/>
  <c r="I83" i="29"/>
  <c r="I81" i="29"/>
  <c r="I80" i="29"/>
  <c r="I79" i="29"/>
  <c r="I78" i="29"/>
  <c r="I77" i="29"/>
  <c r="I76" i="29"/>
  <c r="I75" i="29"/>
  <c r="I74" i="29"/>
  <c r="I73" i="29"/>
  <c r="I107" i="29" l="1"/>
  <c r="I119" i="29"/>
  <c r="I94" i="29"/>
  <c r="I22" i="36"/>
  <c r="I26" i="36" l="1"/>
  <c r="H229" i="29"/>
  <c r="H230" i="29" s="1"/>
  <c r="F229" i="29"/>
  <c r="F230" i="29" s="1"/>
  <c r="H226" i="29"/>
  <c r="F226" i="29"/>
  <c r="H225" i="29"/>
  <c r="F225" i="29"/>
  <c r="H222" i="29"/>
  <c r="F222" i="29"/>
  <c r="H221" i="29"/>
  <c r="F221" i="29"/>
  <c r="H220" i="29"/>
  <c r="F220" i="29"/>
  <c r="H219" i="29"/>
  <c r="F219" i="29"/>
  <c r="F223" i="29" s="1"/>
  <c r="H216" i="29"/>
  <c r="F216" i="29"/>
  <c r="H214" i="29"/>
  <c r="F214" i="29"/>
  <c r="H213" i="29"/>
  <c r="F213" i="29"/>
  <c r="H212" i="29"/>
  <c r="F212" i="29"/>
  <c r="F217" i="29" s="1"/>
  <c r="H208" i="29"/>
  <c r="F208" i="29"/>
  <c r="H207" i="29"/>
  <c r="F207" i="29"/>
  <c r="H206" i="29"/>
  <c r="F206" i="29"/>
  <c r="H205" i="29"/>
  <c r="F205" i="29"/>
  <c r="F209" i="29" s="1"/>
  <c r="F227" i="29" l="1"/>
  <c r="F231" i="29" s="1"/>
  <c r="H209" i="29"/>
  <c r="H217" i="29"/>
  <c r="H223" i="29"/>
  <c r="H227" i="29"/>
  <c r="I206" i="29"/>
  <c r="I226" i="29"/>
  <c r="I208" i="29"/>
  <c r="I221" i="29"/>
  <c r="I222" i="29"/>
  <c r="I229" i="29"/>
  <c r="I230" i="29" s="1"/>
  <c r="E29" i="36"/>
  <c r="E31" i="36" s="1"/>
  <c r="I216" i="29"/>
  <c r="I220" i="29"/>
  <c r="I213" i="29"/>
  <c r="I207" i="29"/>
  <c r="I205" i="29"/>
  <c r="I219" i="29"/>
  <c r="I214" i="29"/>
  <c r="I225" i="29"/>
  <c r="I212" i="29"/>
  <c r="I209" i="29" l="1"/>
  <c r="I227" i="29"/>
  <c r="I223" i="29"/>
  <c r="I217" i="29"/>
  <c r="H231" i="29"/>
  <c r="F13" i="29"/>
  <c r="H13" i="29"/>
  <c r="H191" i="29"/>
  <c r="F191" i="29"/>
  <c r="I191" i="29" l="1"/>
  <c r="I231" i="29"/>
  <c r="C20" i="30" s="1"/>
  <c r="I13" i="29"/>
  <c r="F30" i="29"/>
  <c r="F132" i="29"/>
  <c r="H200" i="29"/>
  <c r="F200" i="29"/>
  <c r="F14" i="29"/>
  <c r="H14" i="29"/>
  <c r="H18" i="29"/>
  <c r="F12" i="29"/>
  <c r="F18" i="29"/>
  <c r="H12" i="29"/>
  <c r="H30" i="29"/>
  <c r="H29" i="29"/>
  <c r="F29" i="29"/>
  <c r="H28" i="29"/>
  <c r="F28" i="29"/>
  <c r="H27" i="29"/>
  <c r="F27" i="29"/>
  <c r="H26" i="29"/>
  <c r="F26" i="29"/>
  <c r="H25" i="29"/>
  <c r="F25" i="29"/>
  <c r="H37" i="29"/>
  <c r="F33" i="29"/>
  <c r="F36" i="29"/>
  <c r="H36" i="29"/>
  <c r="H35" i="29"/>
  <c r="C34" i="29"/>
  <c r="H34" i="29" s="1"/>
  <c r="M20" i="29"/>
  <c r="C11" i="29"/>
  <c r="H33" i="29"/>
  <c r="F61" i="29"/>
  <c r="H61" i="29"/>
  <c r="F50" i="29"/>
  <c r="H43" i="29"/>
  <c r="F43" i="29"/>
  <c r="C3" i="35"/>
  <c r="D3" i="35" s="1"/>
  <c r="D4" i="35" s="1"/>
  <c r="D5" i="35" s="1"/>
  <c r="B13" i="35"/>
  <c r="C12" i="35"/>
  <c r="C11" i="35"/>
  <c r="C10" i="35"/>
  <c r="C9" i="35"/>
  <c r="C8" i="35"/>
  <c r="C7" i="35"/>
  <c r="C6" i="35"/>
  <c r="C5" i="35"/>
  <c r="C4" i="35"/>
  <c r="B1" i="35"/>
  <c r="H192" i="29"/>
  <c r="F192" i="29"/>
  <c r="H190" i="29"/>
  <c r="H186" i="29"/>
  <c r="F186" i="29"/>
  <c r="H135" i="29"/>
  <c r="F135" i="29"/>
  <c r="H134" i="29"/>
  <c r="F134" i="29"/>
  <c r="H132" i="29"/>
  <c r="F131" i="29"/>
  <c r="H127" i="29"/>
  <c r="F127" i="29"/>
  <c r="H126" i="29"/>
  <c r="F126" i="29"/>
  <c r="H125" i="29"/>
  <c r="F125" i="29"/>
  <c r="H124" i="29"/>
  <c r="F124" i="29"/>
  <c r="H123" i="29"/>
  <c r="F123" i="29"/>
  <c r="H122" i="29"/>
  <c r="F122" i="29"/>
  <c r="F23" i="35"/>
  <c r="I23" i="35" s="1"/>
  <c r="H42" i="29"/>
  <c r="F42" i="29"/>
  <c r="H66" i="29"/>
  <c r="F66" i="29"/>
  <c r="H41" i="29"/>
  <c r="F41" i="29"/>
  <c r="H50" i="29"/>
  <c r="F21" i="35"/>
  <c r="I21" i="35" s="1"/>
  <c r="E21" i="35"/>
  <c r="G21" i="35" s="1"/>
  <c r="J21" i="35" s="1"/>
  <c r="F37" i="29"/>
  <c r="F17" i="35"/>
  <c r="I17" i="35" s="1"/>
  <c r="E17" i="35"/>
  <c r="H17" i="35" s="1"/>
  <c r="M22" i="29" l="1"/>
  <c r="M23" i="29" s="1"/>
  <c r="H11" i="29"/>
  <c r="H15" i="29" s="1"/>
  <c r="C15" i="29"/>
  <c r="F59" i="29"/>
  <c r="E19" i="35" s="1"/>
  <c r="H19" i="35" s="1"/>
  <c r="H59" i="29"/>
  <c r="F19" i="35" s="1"/>
  <c r="H48" i="29"/>
  <c r="F18" i="35" s="1"/>
  <c r="I18" i="35" s="1"/>
  <c r="F31" i="29"/>
  <c r="F129" i="29"/>
  <c r="F140" i="29"/>
  <c r="F67" i="29"/>
  <c r="E20" i="35" s="1"/>
  <c r="H20" i="35" s="1"/>
  <c r="H129" i="29"/>
  <c r="H140" i="29"/>
  <c r="F199" i="29"/>
  <c r="H39" i="29"/>
  <c r="F48" i="29"/>
  <c r="E18" i="35" s="1"/>
  <c r="H199" i="29"/>
  <c r="D6" i="35"/>
  <c r="D7" i="35" s="1"/>
  <c r="D8" i="35" s="1"/>
  <c r="D9" i="35" s="1"/>
  <c r="D10" i="35" s="1"/>
  <c r="D11" i="35" s="1"/>
  <c r="D12" i="35" s="1"/>
  <c r="H67" i="29"/>
  <c r="F20" i="35" s="1"/>
  <c r="I20" i="35" s="1"/>
  <c r="H31" i="29"/>
  <c r="C15" i="36"/>
  <c r="E15" i="36" s="1"/>
  <c r="I122" i="29"/>
  <c r="I36" i="29"/>
  <c r="I27" i="29"/>
  <c r="I137" i="29"/>
  <c r="I124" i="29"/>
  <c r="I18" i="29"/>
  <c r="C13" i="35"/>
  <c r="I123" i="29"/>
  <c r="F35" i="29"/>
  <c r="I35" i="29" s="1"/>
  <c r="F11" i="29"/>
  <c r="F15" i="29" s="1"/>
  <c r="N192" i="29"/>
  <c r="I14" i="29"/>
  <c r="I50" i="29"/>
  <c r="I59" i="29" s="1"/>
  <c r="I66" i="29"/>
  <c r="I12" i="29"/>
  <c r="I125" i="29"/>
  <c r="M192" i="29"/>
  <c r="I28" i="29"/>
  <c r="I134" i="29"/>
  <c r="I192" i="29"/>
  <c r="I30" i="29"/>
  <c r="M28" i="29" s="1"/>
  <c r="O28" i="29" s="1"/>
  <c r="H14" i="30" s="1"/>
  <c r="H21" i="35"/>
  <c r="I186" i="29"/>
  <c r="I41" i="29"/>
  <c r="I190" i="29"/>
  <c r="I61" i="29"/>
  <c r="I200" i="29"/>
  <c r="I201" i="29" s="1"/>
  <c r="F24" i="35"/>
  <c r="I24" i="35" s="1"/>
  <c r="E24" i="35"/>
  <c r="E23" i="35"/>
  <c r="I135" i="29"/>
  <c r="I138" i="29"/>
  <c r="I132" i="29"/>
  <c r="I127" i="29"/>
  <c r="I126" i="29"/>
  <c r="G17" i="35"/>
  <c r="J17" i="35" s="1"/>
  <c r="I42" i="29"/>
  <c r="I26" i="29"/>
  <c r="I29" i="29"/>
  <c r="I25" i="29"/>
  <c r="I43" i="29"/>
  <c r="I33" i="29"/>
  <c r="F34" i="29"/>
  <c r="I34" i="29" s="1"/>
  <c r="I37" i="29"/>
  <c r="I31" i="29" l="1"/>
  <c r="C15" i="41"/>
  <c r="I67" i="29"/>
  <c r="C18" i="30" s="1"/>
  <c r="H202" i="29"/>
  <c r="F22" i="35" s="1"/>
  <c r="I22" i="35" s="1"/>
  <c r="I129" i="29"/>
  <c r="I199" i="29"/>
  <c r="C15" i="30"/>
  <c r="C16" i="30"/>
  <c r="F202" i="29"/>
  <c r="E22" i="35" s="1"/>
  <c r="H22" i="35" s="1"/>
  <c r="C17" i="30"/>
  <c r="I11" i="29"/>
  <c r="F39" i="29"/>
  <c r="K87" i="29"/>
  <c r="M203" i="29"/>
  <c r="C16" i="36" s="1"/>
  <c r="E16" i="36" s="1"/>
  <c r="O192" i="29"/>
  <c r="G20" i="35"/>
  <c r="J20" i="35" s="1"/>
  <c r="G18" i="35"/>
  <c r="J18" i="35" s="1"/>
  <c r="H24" i="35"/>
  <c r="G24" i="35"/>
  <c r="J24" i="35" s="1"/>
  <c r="G23" i="35"/>
  <c r="J23" i="35" s="1"/>
  <c r="H23" i="35"/>
  <c r="H21" i="30"/>
  <c r="H18" i="35"/>
  <c r="F21" i="29"/>
  <c r="H21" i="29"/>
  <c r="H20" i="29"/>
  <c r="F20" i="29"/>
  <c r="I19" i="35"/>
  <c r="G19" i="35"/>
  <c r="J19" i="35" s="1"/>
  <c r="C13" i="30" l="1"/>
  <c r="C14" i="41"/>
  <c r="G22" i="35"/>
  <c r="J22" i="35" s="1"/>
  <c r="F23" i="29"/>
  <c r="E16" i="35" s="1"/>
  <c r="H23" i="29"/>
  <c r="F16" i="35" s="1"/>
  <c r="I202" i="29"/>
  <c r="M141" i="29"/>
  <c r="C14" i="36" s="1"/>
  <c r="E14" i="36" s="1"/>
  <c r="H16" i="30"/>
  <c r="I21" i="29"/>
  <c r="I20" i="29"/>
  <c r="C19" i="30" l="1"/>
  <c r="C19" i="41"/>
  <c r="G16" i="35"/>
  <c r="E25" i="35"/>
  <c r="H16" i="35"/>
  <c r="H25" i="35" s="1"/>
  <c r="I16" i="35"/>
  <c r="I25" i="35" s="1"/>
  <c r="F25" i="35"/>
  <c r="E21" i="42" l="1"/>
  <c r="C12" i="30"/>
  <c r="C21" i="30" s="1"/>
  <c r="E21" i="30" s="1"/>
  <c r="C13" i="41"/>
  <c r="C13" i="36"/>
  <c r="C18" i="36" s="1"/>
  <c r="I232" i="29"/>
  <c r="J16" i="35"/>
  <c r="J25" i="35" s="1"/>
  <c r="G25" i="35"/>
  <c r="E28" i="42" l="1"/>
  <c r="H25" i="42"/>
  <c r="H12" i="30"/>
  <c r="H15" i="30" s="1"/>
  <c r="H12" i="41"/>
  <c r="E21" i="41"/>
  <c r="E28" i="30"/>
  <c r="E30" i="30" s="1"/>
  <c r="H25" i="30"/>
  <c r="E13" i="36"/>
  <c r="E18" i="36" s="1"/>
  <c r="F13" i="36" s="1"/>
  <c r="O5" i="29"/>
  <c r="O7" i="29" s="1"/>
  <c r="E30" i="42" l="1"/>
  <c r="C12" i="31"/>
  <c r="C18" i="31" s="1"/>
  <c r="B20" i="31" s="1"/>
  <c r="H25" i="41"/>
  <c r="E28" i="41"/>
  <c r="E30" i="41" s="1"/>
  <c r="I17" i="36"/>
  <c r="F15" i="36"/>
  <c r="F16" i="36"/>
  <c r="F14" i="36"/>
  <c r="F18" i="36" l="1"/>
</calcChain>
</file>

<file path=xl/sharedStrings.xml><?xml version="1.0" encoding="utf-8"?>
<sst xmlns="http://schemas.openxmlformats.org/spreadsheetml/2006/main" count="2597" uniqueCount="501">
  <si>
    <t>ลำดับที่</t>
  </si>
  <si>
    <t>รายการ</t>
  </si>
  <si>
    <t>รวม</t>
  </si>
  <si>
    <t>ปริมาณวัสดุก่อสร้าง</t>
  </si>
  <si>
    <t>ค่าวัสดุก่อสร้าง (บาท)</t>
  </si>
  <si>
    <t>ค่าแรงงาน (บาท)</t>
  </si>
  <si>
    <t>ค่าวัสดุและแรงงาน</t>
  </si>
  <si>
    <t>จำนวน</t>
  </si>
  <si>
    <t>หน่วย</t>
  </si>
  <si>
    <t>หน่วยละ</t>
  </si>
  <si>
    <t>รวมเป็นเงิน (บาท)</t>
  </si>
  <si>
    <t>ค่างานก่อสร้าง</t>
  </si>
  <si>
    <t>ค่างานต้นทุน</t>
  </si>
  <si>
    <t>หมายเหตุ</t>
  </si>
  <si>
    <t>Factor F</t>
  </si>
  <si>
    <t>รวมค่าก่อสร้าง</t>
  </si>
  <si>
    <t>หน่วย : บาท</t>
  </si>
  <si>
    <t>เงื่อนไขการใช้ตาราง Factor F</t>
  </si>
  <si>
    <t>แบบเลขที่</t>
  </si>
  <si>
    <t xml:space="preserve">                                 แบบแสดงรายการ ปริมาณงานและราคา</t>
  </si>
  <si>
    <t>แบบสรุปค่าก่อสร้าง</t>
  </si>
  <si>
    <t>ภาษีมูลค่าเพิ่ม.................7..................%</t>
  </si>
  <si>
    <t xml:space="preserve">                          แบบ ปร. 5 (ก)</t>
  </si>
  <si>
    <t>ชุด</t>
  </si>
  <si>
    <t>ลบ.ม.</t>
  </si>
  <si>
    <t>ตร.ม.</t>
  </si>
  <si>
    <t xml:space="preserve"> </t>
  </si>
  <si>
    <t>แบบ ปร.6</t>
  </si>
  <si>
    <t>แบบสรุปราคากลางงานก่อสร้างอาคาร</t>
  </si>
  <si>
    <t>ค่าก่อสร้าง</t>
  </si>
  <si>
    <t>สรุป</t>
  </si>
  <si>
    <t>รวมค่าก่อสร้างทั้งโครงการ/งานก่อสร้าง</t>
  </si>
  <si>
    <t xml:space="preserve">       </t>
  </si>
  <si>
    <t>เฉลี่ย</t>
  </si>
  <si>
    <t>บาท/ตร.ม</t>
  </si>
  <si>
    <t>กก.</t>
  </si>
  <si>
    <t xml:space="preserve">งานปรับปรุงสนามฟุตบอล </t>
  </si>
  <si>
    <t>งานปรับปรุงลู่วิ่ง วัสดุยางสังเคราะห์</t>
  </si>
  <si>
    <t>งานรางระบายน้ำรอบลู่ใน</t>
  </si>
  <si>
    <t>งานขอบลู่รอบนอก รางระบายน้ำรอบลู่นอก</t>
  </si>
  <si>
    <t>งานอุปกรณ์ติดสนาม</t>
  </si>
  <si>
    <t>ม.</t>
  </si>
  <si>
    <t>งาน</t>
  </si>
  <si>
    <t>เหมา</t>
  </si>
  <si>
    <t>งานปรับปรุงอัฒจันทร์ (เดิม)</t>
  </si>
  <si>
    <t>ลงชื่อ ............................................................. ( ผู้ประมาณราคา)</t>
  </si>
  <si>
    <t>ผู้ประมาณราคา</t>
  </si>
  <si>
    <t>(นางสาวธนธรณ์ ชาญวิรัตน์)</t>
  </si>
  <si>
    <t>ขนาดหรือเนื้อที่ก่อสร้าง จำนวน......8100......ตร.ม.</t>
  </si>
  <si>
    <t xml:space="preserve">                       </t>
  </si>
  <si>
    <t>.......................................................................................</t>
  </si>
  <si>
    <r>
      <rPr>
        <b/>
        <sz val="16"/>
        <color indexed="8"/>
        <rFont val="TH Sarabun New"/>
        <family val="2"/>
      </rPr>
      <t xml:space="preserve">สถานที่ก่อสร้าง  </t>
    </r>
    <r>
      <rPr>
        <sz val="16"/>
        <color indexed="8"/>
        <rFont val="TH Sarabun New"/>
        <family val="2"/>
      </rPr>
      <t>มหาวิทยาลัยเทคโนโลยีราชมงคลอีสาน  วิทยาเขตขอนแก่น</t>
    </r>
  </si>
  <si>
    <r>
      <t xml:space="preserve">หน่วยงานเจ้าของโครงการ/งานก่อสร้าง  </t>
    </r>
    <r>
      <rPr>
        <sz val="16"/>
        <color indexed="8"/>
        <rFont val="TH Sarabun New"/>
        <family val="2"/>
      </rPr>
      <t>สำนักงานวิทยาเขตขอนแก่น มหาวิทยาลัยเทคโนโลยีราชมงคลอีสาน  วิทยาเขตขอนแก่น</t>
    </r>
  </si>
  <si>
    <r>
      <t xml:space="preserve">สถานที่ก่อสร้าง  </t>
    </r>
    <r>
      <rPr>
        <sz val="14"/>
        <color indexed="8"/>
        <rFont val="TH Sarabun New"/>
        <family val="2"/>
      </rPr>
      <t>มหาวิทยาลัยเทคโนโลยีราชมงคลอีสาน วิทยาเขตขอนแก่น</t>
    </r>
  </si>
  <si>
    <t>ดอกเบี้ยเงินกู้..................7...................%</t>
  </si>
  <si>
    <t>ตัว</t>
  </si>
  <si>
    <t>งานระบบรดน้ำสนามฟุตบอล</t>
  </si>
  <si>
    <t>งวดงาน</t>
  </si>
  <si>
    <t>ร้อยละ</t>
  </si>
  <si>
    <t>วงเงิน</t>
  </si>
  <si>
    <t>เบิกจ่ายสะสม</t>
  </si>
  <si>
    <t>ค่าวัสดุ</t>
  </si>
  <si>
    <t>ค่าแรง</t>
  </si>
  <si>
    <t>งานภูมิทัศน์โดยรอบ</t>
  </si>
  <si>
    <t xml:space="preserve">งานท่อระบายน้ำ พร้อมบ่อพัก </t>
  </si>
  <si>
    <r>
      <t xml:space="preserve">กลุ่มงาน/งาน  </t>
    </r>
    <r>
      <rPr>
        <sz val="16"/>
        <color indexed="8"/>
        <rFont val="TH Sarabun New"/>
        <family val="2"/>
      </rPr>
      <t>งานปรับปรุงก่อสร้าง</t>
    </r>
  </si>
  <si>
    <r>
      <rPr>
        <b/>
        <sz val="16"/>
        <color indexed="8"/>
        <rFont val="TH Sarabun New"/>
        <family val="2"/>
      </rPr>
      <t>ชื่อโครงการ/งานก่อสร้าง</t>
    </r>
    <r>
      <rPr>
        <sz val="16"/>
        <color indexed="8"/>
        <rFont val="TH Sarabun New"/>
        <family val="2"/>
      </rPr>
      <t xml:space="preserve"> ปรับปรุงสนามกีฬา มหาวิทยาลัยเทคโนโลยีราชมงคลอีสาน ตำบลในเมือง อำเภอเมืองขอนแก่น จังหวัดขอนแก่น        </t>
    </r>
  </si>
  <si>
    <r>
      <t xml:space="preserve">หน่วยงานเจ้าของโครงการ   </t>
    </r>
    <r>
      <rPr>
        <sz val="14"/>
        <color indexed="8"/>
        <rFont val="TH Sarabun New"/>
        <family val="2"/>
      </rPr>
      <t>สำนักงานวิทยาเขตขอนแก่น</t>
    </r>
    <r>
      <rPr>
        <b/>
        <sz val="14"/>
        <color indexed="8"/>
        <rFont val="TH Sarabun New"/>
        <family val="2"/>
      </rPr>
      <t xml:space="preserve"> </t>
    </r>
    <r>
      <rPr>
        <sz val="14"/>
        <color indexed="8"/>
        <rFont val="TH Sarabun New"/>
        <family val="2"/>
      </rPr>
      <t xml:space="preserve">มหาวิทยาลัยเทคโนโลยีราชมงคลอีสาน วิทยาเขตขอนแก่น  </t>
    </r>
  </si>
  <si>
    <t xml:space="preserve">Area </t>
  </si>
  <si>
    <t>sq.m</t>
  </si>
  <si>
    <t>Quantity</t>
  </si>
  <si>
    <t>FB+SC</t>
  </si>
  <si>
    <t>Track</t>
  </si>
  <si>
    <t>รวมมูลค่างานปรับปรุงลู่วิ่ง วัสดุยางสังเคราะห์</t>
  </si>
  <si>
    <t xml:space="preserve">รวมมูลค่างานงานปรับปรุงสนามฟุตบอล </t>
  </si>
  <si>
    <t>รวมมูลค่างานรางระบายน้ำรอบลู่ใน</t>
  </si>
  <si>
    <t>L</t>
  </si>
  <si>
    <t>m</t>
  </si>
  <si>
    <t>งานเตรียมแนว ปรับแต่งดิน</t>
  </si>
  <si>
    <t>คาน ค.ส.ล. กั้นสนามฟุตบอลและลานกรีฑา</t>
  </si>
  <si>
    <t>รวมมูลค่างานขอบลู่รอบนอก รางระบายน้ำรอบลู่นอก</t>
  </si>
  <si>
    <t>งานท่อระบายน้ำ พร้อมบ่อพัก (สำหรับเชื่อมท่อจากรางระบายน้ำลงสู่บ่อพักเพิ่ม)</t>
  </si>
  <si>
    <t>งานเตรียมแนว ขุดลอก และปรับแต่งดิน</t>
  </si>
  <si>
    <t>งานเชื่อมต่อท่อระบายใหม่กับระบบระบายน้ำเดิม</t>
  </si>
  <si>
    <t>จุด</t>
  </si>
  <si>
    <t>รวมมูลค่างานท่อระบายน้ำ พร้อมบ่อพัก</t>
  </si>
  <si>
    <t>รวมมูลค่างานระบบรดน้ำสนามฟุตบอล</t>
  </si>
  <si>
    <t>Haft Circle</t>
  </si>
  <si>
    <t>Top Soil ทราย หนา 0.05 ม. พร้อมปรับระดับ</t>
  </si>
  <si>
    <t>งานปรับปรุงลานกรีฑา</t>
  </si>
  <si>
    <t>รวมมูลค่างานปรับปรุงลานกรีฑา</t>
  </si>
  <si>
    <t>งานปรับปรุงพื้นที่ Safe Zone</t>
  </si>
  <si>
    <t>FB+SC+Track + SafeZone</t>
  </si>
  <si>
    <t xml:space="preserve">FB+SC+Track </t>
  </si>
  <si>
    <t>FB</t>
  </si>
  <si>
    <t xml:space="preserve"> SafeZone</t>
  </si>
  <si>
    <t xml:space="preserve">ทรายหยาบอัดแน่น หนา 0.05 ม. </t>
  </si>
  <si>
    <t>Wiremesh 4 มม. @0.2 ม #</t>
  </si>
  <si>
    <t>ทรายรองพื้น หนา 0.05 ม. อัดแน่น</t>
  </si>
  <si>
    <t>Wire Mesh dia.4 มม. @0.40#</t>
  </si>
  <si>
    <t>แผ่น Plastic กันความชื้น</t>
  </si>
  <si>
    <t xml:space="preserve">คอนกรีตโครงสร้าง 240 KSC (ทรงกระบอก) หนา 0.10 ม. </t>
  </si>
  <si>
    <t>ดินถม หนา 0.20 ม. บดอัดแน่น (เฉพาะส่วนที่ปูหญ้า) Compacted to 95% STD ASSHO MIN</t>
  </si>
  <si>
    <t>งานขนย้ายดินเดิม</t>
  </si>
  <si>
    <t>งานเตรียมพื้นที่ รื้อถอน และปรับหน้าดินเดิมให้ได้ระดับ (รวมพื้นที่ลู่วิ่งเดิม)</t>
  </si>
  <si>
    <t xml:space="preserve">งานปรับเนินดินทิศใต้ บริเวณหัวโค้งสนามเชื่อมต่อกับถนน </t>
  </si>
  <si>
    <t>งานปรับแต่งเนินดินทิศตะวันออกบริเวณข้างกระถางคบเพลิง</t>
  </si>
  <si>
    <t>ดินลูกรัง หนา 0.20 ม. บดอัดแน่น Compacted to 95% MOD ASSHO MIN</t>
  </si>
  <si>
    <t>งานปรับแต่งผิวบ่อน้ำเดิมสำหรับรับน้ำที่ระบายจากสนาม</t>
  </si>
  <si>
    <t xml:space="preserve">คอนกรีตหนา 0.12 ม. </t>
  </si>
  <si>
    <t>Req</t>
  </si>
  <si>
    <t>Existing</t>
  </si>
  <si>
    <t>Diff</t>
  </si>
  <si>
    <t>สีทาคอนกรีต PU สำหรับผิวพื้นภายนอก ทา 2 รอบ พร้อมงานตีเส้น</t>
  </si>
  <si>
    <t>งบ</t>
  </si>
  <si>
    <t>หน้างาน</t>
  </si>
  <si>
    <t>รวมงานPump House</t>
  </si>
  <si>
    <t>ค่าของ</t>
  </si>
  <si>
    <t>คาแรง</t>
  </si>
  <si>
    <r>
      <rPr>
        <b/>
        <sz val="16"/>
        <color indexed="8"/>
        <rFont val="TH Sarabun New"/>
        <family val="2"/>
      </rPr>
      <t xml:space="preserve">ประมาณราคาเมื่อวันที่ </t>
    </r>
    <r>
      <rPr>
        <sz val="16"/>
        <color indexed="8"/>
        <rFont val="TH Sarabun New"/>
        <family val="2"/>
      </rPr>
      <t xml:space="preserve"> 18   </t>
    </r>
    <r>
      <rPr>
        <b/>
        <sz val="16"/>
        <color indexed="8"/>
        <rFont val="TH Sarabun New"/>
        <family val="2"/>
      </rPr>
      <t>เดือน สิงหาคม</t>
    </r>
    <r>
      <rPr>
        <sz val="16"/>
        <color indexed="8"/>
        <rFont val="TH Sarabun New"/>
        <family val="2"/>
      </rPr>
      <t xml:space="preserve"> </t>
    </r>
    <r>
      <rPr>
        <b/>
        <sz val="16"/>
        <color indexed="8"/>
        <rFont val="TH Sarabun New"/>
        <family val="2"/>
      </rPr>
      <t>พ.ศ.</t>
    </r>
    <r>
      <rPr>
        <sz val="16"/>
        <color indexed="8"/>
        <rFont val="TH Sarabun New"/>
        <family val="2"/>
      </rPr>
      <t xml:space="preserve"> </t>
    </r>
    <r>
      <rPr>
        <b/>
        <sz val="16"/>
        <color indexed="8"/>
        <rFont val="TH Sarabun New"/>
        <family val="2"/>
      </rPr>
      <t xml:space="preserve">2568 </t>
    </r>
  </si>
  <si>
    <t xml:space="preserve">           ( นายธราเทพ ระถี )</t>
  </si>
  <si>
    <t>งานระบบจ่ายไฟฟ้าไฟส่องสว่างสนามฟุตบอล</t>
  </si>
  <si>
    <t>NYY</t>
  </si>
  <si>
    <t>เมตร</t>
  </si>
  <si>
    <t>IEC01</t>
  </si>
  <si>
    <t>ตู้จ่ายไฟฟ้า รวมราคาตู้ Outdoor type และ เบรคเกอร์</t>
  </si>
  <si>
    <t>สายไฟฟ้า (Cable)</t>
  </si>
  <si>
    <t>ท่อเดินสาย (Conduit)</t>
  </si>
  <si>
    <t>ระบบล่อฟ้า</t>
  </si>
  <si>
    <t>Testing &amp; Commissioning</t>
  </si>
  <si>
    <t>รวมมูลค่างานระบบจ่ายไฟฟ้าไฟส่องสว่างสนามฟุตบอล</t>
  </si>
  <si>
    <t>รวมทั้งสิ้น</t>
  </si>
  <si>
    <t>เงินงบ</t>
  </si>
  <si>
    <r>
      <rPr>
        <b/>
        <sz val="16"/>
        <color indexed="8"/>
        <rFont val="TH Sarabun New"/>
        <family val="2"/>
      </rPr>
      <t>แบบ ปร.4 ที่แนบ มีจำนวน</t>
    </r>
    <r>
      <rPr>
        <sz val="16"/>
        <color indexed="8"/>
        <rFont val="TH Sarabun New"/>
        <family val="2"/>
      </rPr>
      <t xml:space="preserve">  5 </t>
    </r>
    <r>
      <rPr>
        <b/>
        <sz val="16"/>
        <color indexed="8"/>
        <rFont val="TH Sarabun New"/>
        <family val="2"/>
      </rPr>
      <t xml:space="preserve"> หน้า</t>
    </r>
  </si>
  <si>
    <t xml:space="preserve">ตำบลในเมือง อำเภอเมืองขอนแก่น จังหวัดขอนแก่น      </t>
  </si>
  <si>
    <t xml:space="preserve">ปรับปรุงสนามกีฬามหาวิทยาลัยเทคโนโลยีราชมงคลอีสาน     </t>
  </si>
  <si>
    <t>เงินล่วงหน้าจ่าย............-.......................%</t>
  </si>
  <si>
    <t>เงินประกันผลงานหัก........-..................%</t>
  </si>
  <si>
    <t>หมวดโครงสร้าง</t>
  </si>
  <si>
    <t>หมวดระบบประปาและสุขาภิบาล</t>
  </si>
  <si>
    <t>หมวดไฟฟ้า</t>
  </si>
  <si>
    <t>หมวดสถาปัตยกรรม</t>
  </si>
  <si>
    <t>%</t>
  </si>
  <si>
    <t>รอบประเมิน 2/2568</t>
  </si>
  <si>
    <t>คะแนนประเมิน 1,000 คะแนน/</t>
  </si>
  <si>
    <r>
      <t xml:space="preserve">กลุ่มงาน/งาน  </t>
    </r>
    <r>
      <rPr>
        <sz val="20"/>
        <color indexed="8"/>
        <rFont val="TH Sarabun New"/>
        <family val="2"/>
      </rPr>
      <t>งานปรับปรุงก่อสร้าง</t>
    </r>
  </si>
  <si>
    <r>
      <rPr>
        <b/>
        <sz val="20"/>
        <color indexed="8"/>
        <rFont val="TH Sarabun New"/>
        <family val="2"/>
      </rPr>
      <t>ชื่อโครงการ/งานก่อสร้าง</t>
    </r>
    <r>
      <rPr>
        <sz val="20"/>
        <color indexed="8"/>
        <rFont val="TH Sarabun New"/>
        <family val="2"/>
      </rPr>
      <t xml:space="preserve"> ปรับปรุงสนามกีฬามหาวิทยาลัยเทคโนโลยีราชมงคลอีสาน ตำบลในเมือง อำเภอเมืองขอนแก่น จังหวัดขอนแก่น        </t>
    </r>
  </si>
  <si>
    <r>
      <rPr>
        <b/>
        <sz val="20"/>
        <color indexed="8"/>
        <rFont val="TH Sarabun New"/>
        <family val="2"/>
      </rPr>
      <t xml:space="preserve">สถานที่ก่อสร้าง  </t>
    </r>
    <r>
      <rPr>
        <sz val="20"/>
        <color indexed="8"/>
        <rFont val="TH Sarabun New"/>
        <family val="2"/>
      </rPr>
      <t xml:space="preserve"> มหาวิทยาลัยเทคโนโลยีราชมงคลอีสาน  วิทยาเขตขอนแก่น</t>
    </r>
  </si>
  <si>
    <r>
      <t xml:space="preserve">หน่วยงานเจ้าของโครงการ/งานก่อสร้าง  </t>
    </r>
    <r>
      <rPr>
        <sz val="20"/>
        <color indexed="8"/>
        <rFont val="TH Sarabun New"/>
        <family val="2"/>
      </rPr>
      <t>สำนักงานวิทยาเขตขอนแก่น มหาวิทยาลัยเทคโนโลยีราชมงคลอีสาน  วิทยาเขตขอนแก่น</t>
    </r>
  </si>
  <si>
    <t>.........................................................</t>
  </si>
  <si>
    <t>ประธานกรรมการกำหนดราคากลาง</t>
  </si>
  <si>
    <t>.....................................................</t>
  </si>
  <si>
    <t>.......................................................</t>
  </si>
  <si>
    <t>กรรมการกำหนดราคากลาง</t>
  </si>
  <si>
    <t>(ผู้ช่วยศาสตราจารย์ ดร.วรรธนะ  ประภาภรณ์)</t>
  </si>
  <si>
    <t>(อาจารย์จิระยุทธ  เนื่องรินทร์)</t>
  </si>
  <si>
    <t>(นางสาวพัชรี  สงคราม)</t>
  </si>
  <si>
    <r>
      <t xml:space="preserve">ประมาณราคาโดย  </t>
    </r>
    <r>
      <rPr>
        <sz val="20"/>
        <color indexed="8"/>
        <rFont val="TH Sarabun New"/>
        <family val="2"/>
      </rPr>
      <t>คณะกรรมการกำหนดราคากลาง ตามคำสั่งที่ 383/2568 ลงวันที่ 4 สิงหาคม 2568</t>
    </r>
  </si>
  <si>
    <t>prime coat อยู่รายการไหนใน BOQ จำเป็นต้องมีใน BOQ ไหม</t>
  </si>
  <si>
    <t>https://bbstore.bb.go.th/cms/1646297300_8269.pdf</t>
  </si>
  <si>
    <t xml:space="preserve">Wire Mesh dia.4 มม. @0.40#   </t>
  </si>
  <si>
    <t xml:space="preserve">งานระบบจ่ายไฟฟ้าไฟส่องสว่างสนามฟุตบอล </t>
  </si>
  <si>
    <t>8.1.1</t>
  </si>
  <si>
    <t>8.1.2</t>
  </si>
  <si>
    <t>ท่อกัลวาไนซ์ คาดน้ำเงิน BS-M ขนาด 2"</t>
  </si>
  <si>
    <t>ข้องอ 90 องศา กัลวาไนซ์เกลียวใน ขนาด  2"</t>
  </si>
  <si>
    <t>งานขุดดินถมคืน</t>
  </si>
  <si>
    <t>ชุดสตับเอ็นชุดข้าง HDPE PN10 ขนาด 63 มม.</t>
  </si>
  <si>
    <t>สามทางลดแบบเชื่อม HDPE PN10 ขนาด 110 x 63 มม.</t>
  </si>
  <si>
    <t>ข้องอ 90 องศา แบบเชื่อม HDPE PN10 ขนาด 110 มม.</t>
  </si>
  <si>
    <t>ข้อต่อสามทางแบบเชื่อม HDPE PN10 ขนาด 110 มม.</t>
  </si>
  <si>
    <t>คอนกรีต (240 ksc.) ทรงกระบอก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</si>
  <si>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</si>
  <si>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</si>
  <si>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</si>
  <si>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</si>
  <si>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</si>
  <si>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</si>
  <si>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</si>
  <si>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</si>
  <si>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</si>
  <si>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</si>
  <si>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8.2.1</t>
  </si>
  <si>
    <t>เกจวัดแรงดัน แบบมีน้ำมัน 0 - 10 บาร์</t>
  </si>
  <si>
    <t>PRESSURE SWITCH ตั้งแรงดันได้ตั้งแต่ 0.2 - 7 บาร์</t>
  </si>
  <si>
    <t>แท่น INERTIA BASE พร้อมสปริงรองแท่น INERTIA BASE</t>
  </si>
  <si>
    <t>8.2.2</t>
  </si>
  <si>
    <t>8.2.3</t>
  </si>
  <si>
    <t>8.2.4</t>
  </si>
  <si>
    <t>8.2.5</t>
  </si>
  <si>
    <t>8.3.1</t>
  </si>
  <si>
    <t>อุปกรณ์ทางดูดของปั๊มน้ำ</t>
  </si>
  <si>
    <t>ท่อกัลวาไนซ์ คาดน้ำเงิน BS-M ขนาด 4"</t>
  </si>
  <si>
    <t>ฟุตวาล์วทองเหลืองแบบรังผึ้ง ขนาด 4"</t>
  </si>
  <si>
    <t>ข้อต่อตรงเกลียวนอก PVC ชั้น 13.5 ขนาด 4"</t>
  </si>
  <si>
    <t>ข้องอ 45 องศา ขนาด 4"</t>
  </si>
  <si>
    <t>ข้องอ 90 องศา ขนาด 4"</t>
  </si>
  <si>
    <t>Y วายสแตนเนอร์เหล็กหล่อ ขนาด 4" แบบหน้าแปลน</t>
  </si>
  <si>
    <t>ข้อลดเบี้ยวเหล็ก (คางหมู) แบบเชื่อม "4x3"</t>
  </si>
  <si>
    <t>หน้าแปลนเหล็ก 10K ขนาด 4"</t>
  </si>
  <si>
    <t>ข้อต่อ Flex ลอนเดี่ยว ขนาด 4" แบบหน้าแปลน</t>
  </si>
  <si>
    <t>หน้าแปลน PVC. 10K ขนาด 4"</t>
  </si>
  <si>
    <t>อุปกรณ์ยึดท่อ</t>
  </si>
  <si>
    <t>8.3.2</t>
  </si>
  <si>
    <t>8.3.3</t>
  </si>
  <si>
    <t>8.3.4</t>
  </si>
  <si>
    <t>8.3.5</t>
  </si>
  <si>
    <t>8.3.6</t>
  </si>
  <si>
    <t>8.3.7</t>
  </si>
  <si>
    <t>8.3.8</t>
  </si>
  <si>
    <t>8.3.9</t>
  </si>
  <si>
    <t>8.3.10</t>
  </si>
  <si>
    <t>8.3.11</t>
  </si>
  <si>
    <t>อุปกรณ์ทางออกของปั๊มน้ำ</t>
  </si>
  <si>
    <t>8.4.1</t>
  </si>
  <si>
    <t>ท่อกัลวาไนซ์ คาดน้ำเงิน ขนาด BS-M ขนาด 4"</t>
  </si>
  <si>
    <t>ข้อลดเบี้ยวเหล็ก (คางหมู) แบบเชื่อม "4x2.1/2"</t>
  </si>
  <si>
    <t>เช็ควาล์วสปริง ขนาด 4"</t>
  </si>
  <si>
    <t>ประตูน้ำทองเหลือง ขนาด 4"</t>
  </si>
  <si>
    <t>ข้อต่อเกลียวสั้น ขนาด 4" ยาว 15 ซม.</t>
  </si>
  <si>
    <t>ข้อต่อ Flex ลอนคู่ ขนาด 4" แบบหน้าแปลน</t>
  </si>
  <si>
    <t>วาล์วผีเสื้อเหล็กหล่อ ขนาด 4"</t>
  </si>
  <si>
    <t>ชุดสตับเอ็นชุดข้าง HDPE PN10 ขนาด 110 มม.</t>
  </si>
  <si>
    <t>8.4.2</t>
  </si>
  <si>
    <t>8.4.3</t>
  </si>
  <si>
    <t>8.4.4</t>
  </si>
  <si>
    <t>8.4.5</t>
  </si>
  <si>
    <t>8.4.6</t>
  </si>
  <si>
    <t>8.4.7</t>
  </si>
  <si>
    <t>8.4.8</t>
  </si>
  <si>
    <t>8.4.9</t>
  </si>
  <si>
    <t>8.4.10</t>
  </si>
  <si>
    <t>รวมระบบส่งน้ำ</t>
  </si>
  <si>
    <t>รวมระบบปั๊มน้ำ</t>
  </si>
  <si>
    <t>รวมอุปกรณ์ทางดูดของปั๊มน้ำ</t>
  </si>
  <si>
    <t>รวมอุปกรณ์ทางออกของปั๊มน้ำ</t>
  </si>
  <si>
    <t>ท่อน</t>
  </si>
  <si>
    <t>อัน</t>
  </si>
  <si>
    <t>รวมงานไฟฟ้าเครื่องปั๊มน้ำ</t>
  </si>
  <si>
    <t>รวมถังเก็บน้ำ</t>
  </si>
  <si>
    <t>รวมงานโรงเก็บปั๊มน้ำ</t>
  </si>
  <si>
    <t>รวมงานปรับแต่งผิวบ่อน้ำเดิมสำหรับรับน้ำที่ระบายจากสนาม</t>
  </si>
  <si>
    <t>8.9.1</t>
  </si>
  <si>
    <t>8.9.2</t>
  </si>
  <si>
    <t>8.9.3</t>
  </si>
  <si>
    <t>8.9.4</t>
  </si>
  <si>
    <t>8.9.5</t>
  </si>
  <si>
    <t>8.9.6</t>
  </si>
  <si>
    <t>เบรกเกอร์ 60 A พร้อมกล่องยึด</t>
  </si>
  <si>
    <t>แมกเนติก พร้อม OVERLOAD 50 A</t>
  </si>
  <si>
    <t>สวิทซ์ตั้งเวลา</t>
  </si>
  <si>
    <t>สวิทซ้องกันเฟส</t>
  </si>
  <si>
    <t>ตู้คอนโทรล</t>
  </si>
  <si>
    <t>อุปกรณ์อื่นๆ พร้อมสายไฟ 16 ตร.มม.</t>
  </si>
  <si>
    <t>8.10.1</t>
  </si>
  <si>
    <t>8.10.2</t>
  </si>
  <si>
    <t>8.10.3</t>
  </si>
  <si>
    <t>8.11.1</t>
  </si>
  <si>
    <t>ขุดดิน</t>
  </si>
  <si>
    <t>คอนกรีต ( fc' =280 ksc ) รูปทรงลูกบาศก์</t>
  </si>
  <si>
    <t>เหล็ก DB ขนาด 12 มม.</t>
  </si>
  <si>
    <t>ลวดผูกเหล็ก</t>
  </si>
  <si>
    <t>ไม้แบบหล่อคอนกรีต</t>
  </si>
  <si>
    <t xml:space="preserve">คอนกรีตโครงสร้าง 240 KSC (ทรงกระบอก) </t>
  </si>
  <si>
    <t>พัดลมระบายอากาศ แบบติดผนัง 8 นิ้ว</t>
  </si>
  <si>
    <t>9.1.1</t>
  </si>
  <si>
    <t>9.1.2</t>
  </si>
  <si>
    <t>9.1.3</t>
  </si>
  <si>
    <t>9.1.4</t>
  </si>
  <si>
    <t xml:space="preserve">Accessories </t>
  </si>
  <si>
    <t>9.2.1</t>
  </si>
  <si>
    <t>9.2.2</t>
  </si>
  <si>
    <t>9.2.1.1</t>
  </si>
  <si>
    <t>9.2.1.2</t>
  </si>
  <si>
    <t>9.2.1.3</t>
  </si>
  <si>
    <t>9.2.2.1</t>
  </si>
  <si>
    <t>รวมงานสายไฟฟ้า (Cable)</t>
  </si>
  <si>
    <t>รวมงานตู้จ่ายไฟฟ้า รวมราคาตู้ Outdoor type และ เบรคเกอร์</t>
  </si>
  <si>
    <t>รวมท่อเดินสาย (Conduit)</t>
  </si>
  <si>
    <t>9.3.1</t>
  </si>
  <si>
    <t>9.3.2</t>
  </si>
  <si>
    <t>9.3.3</t>
  </si>
  <si>
    <t>9.3.4</t>
  </si>
  <si>
    <t>100 mm HDPE</t>
  </si>
  <si>
    <t>65 mm HDPE</t>
  </si>
  <si>
    <t>Wireway 100x150mm</t>
  </si>
  <si>
    <t>2/C 16 sq.mm.</t>
  </si>
  <si>
    <t>2/C 35 sq.mm.</t>
  </si>
  <si>
    <t>4/C 35 sq.mm.</t>
  </si>
  <si>
    <t>1x2.5 sq.mm</t>
  </si>
  <si>
    <t>9.4.1</t>
  </si>
  <si>
    <t>9.4.2</t>
  </si>
  <si>
    <t>ระบบรากสายดิน และ Ground test box</t>
  </si>
  <si>
    <t>รวมงานระบบล่อฟ้า</t>
  </si>
  <si>
    <t>9.5.1</t>
  </si>
  <si>
    <t>รวมงานTesting &amp; Commissioning</t>
  </si>
  <si>
    <t>เหล็ก RB ขนาด 9 มม.</t>
  </si>
  <si>
    <t>ตู้ CB ปั้มน้ำ ตู้เหล็ก กันน้ำมีหลังคา ฝา 2 ชั้น หน้ากระจก</t>
  </si>
  <si>
    <t>ตู้ CB สำหรับสนามบาส ตู้เหล็ก กันน้ำมีหลังคา ฝา 2 ชั้น หน้ากระจก</t>
  </si>
  <si>
    <t xml:space="preserve">CB1 - CB4 ตู้ประจำเสาไฟส่องสว่าง ตู้เหล็ก กันน้ำมีหลังคา ฝา 2 ชั้น หน้ากระจก </t>
  </si>
  <si>
    <t>ตะปู</t>
  </si>
  <si>
    <r>
      <t>งานปูหญ้าพาสพาลั่ม</t>
    </r>
    <r>
      <rPr>
        <sz val="20"/>
        <color rgb="FFFF0000"/>
        <rFont val="TH Sarabun New"/>
        <family val="2"/>
      </rPr>
      <t xml:space="preserve"> </t>
    </r>
    <r>
      <rPr>
        <sz val="20"/>
        <rFont val="TH Sarabun New"/>
        <family val="2"/>
      </rPr>
      <t xml:space="preserve">พร้อมโรยปุ๋ยและทราย </t>
    </r>
  </si>
  <si>
    <t xml:space="preserve">รางระบายน้ำคอนกรีตสำเร็จรูป (Type B) วางตามแนวโค้ง </t>
  </si>
  <si>
    <t xml:space="preserve">รางระบายน้ำคอนกรีตสำเร็จรูป (Type A) วางแนวตรงด้านข้างสนาม </t>
  </si>
  <si>
    <t>รางระบายน้ำคอนกรีตสำเร็จรูป  พร้อมเทลีน</t>
  </si>
  <si>
    <t>เกิน</t>
  </si>
  <si>
    <r>
      <t>งานระบบรดน้ำสนามฟุตบอล</t>
    </r>
    <r>
      <rPr>
        <b/>
        <u/>
        <sz val="20"/>
        <color rgb="FFFF0000"/>
        <rFont val="TH SarabunPSK"/>
        <family val="2"/>
        <charset val="222"/>
      </rPr>
      <t xml:space="preserve">    </t>
    </r>
  </si>
  <si>
    <t>VBS กล่องวาล์วไฟฟ้า ทรงสี่เหลี่ยม ไม่น้อยกว่า ขนาด 520 x 400 x 330 มม.</t>
  </si>
  <si>
    <t>หน้าแปลนทองเหลือง 10 K  ขนาด 2"</t>
  </si>
  <si>
    <t>ท่อ HDPE PN10 PE80 ขนาด 110 มม.</t>
  </si>
  <si>
    <t>ถังแรงดันไดอะเฟรมแนวตั้ง ขนาดไม่น้อยกว่า 300 ลิตร ทนแรงดัน 10 บาร์</t>
  </si>
  <si>
    <t>มอเตอร์คอนโทรลพร้อมโอเวอร์โหลด</t>
  </si>
  <si>
    <t>8.9.7</t>
  </si>
  <si>
    <t>เหล็ก RB ขนาด 6 มม.</t>
  </si>
  <si>
    <t>เส้น</t>
  </si>
  <si>
    <t>เหล็ก DB ขนาด 16 มม.</t>
  </si>
  <si>
    <t>ฐานราก</t>
  </si>
  <si>
    <t>ตอม่อ/เสา</t>
  </si>
  <si>
    <t>คานชั้น 1</t>
  </si>
  <si>
    <t>พื้นชั้น 1</t>
  </si>
  <si>
    <t>คานชั้น 2</t>
  </si>
  <si>
    <t>หลังคาชั้น 2</t>
  </si>
  <si>
    <t>งานสถาปัตย์</t>
  </si>
  <si>
    <t xml:space="preserve">ผนังก่ออิฐบล็อก ฉาบปูนเรียบ </t>
  </si>
  <si>
    <t>ประตูม้วน ขนาด 2.05 x 2.50 เมตร แบบมือดึง พร้อมอุปกรณ์ครบชุด</t>
  </si>
  <si>
    <t>สีรองพื้นปูนใหม่กันด่าง 1 เที่ยว มอก.1123-2555</t>
  </si>
  <si>
    <t>สีทับหน้า 2 เทียว</t>
  </si>
  <si>
    <t xml:space="preserve">ทาสีผนังปูนใหม่ สีน้ำอะครีลิค 100% ทาภายนอก มอก.2321-2564 </t>
  </si>
  <si>
    <t>ไฟฟ้าส่องสว่าง</t>
  </si>
  <si>
    <t>หลอดไฟ LED ขนาด 18 Watt พร้องราง TB</t>
  </si>
  <si>
    <t>เต้ารับ</t>
  </si>
  <si>
    <t>สวิทซ์ ONE WAY 15A.250V.AC</t>
  </si>
  <si>
    <t>เมทัลชีลลอน ขนาด 0.5 มิลลิเมตร (ระบุสีภายหลัง)</t>
  </si>
  <si>
    <t>หลอด</t>
  </si>
  <si>
    <t>ทรายหยาบ</t>
  </si>
  <si>
    <t xml:space="preserve">ไม้แบบหล่อคอนกรีต  </t>
  </si>
  <si>
    <t>ANCHOR  DB12-DB16 ชุบกัลวาไนซ์</t>
  </si>
  <si>
    <t xml:space="preserve">ถังเก็บน้ำ </t>
  </si>
  <si>
    <t>โรงเก็บปั้มน้ำ</t>
  </si>
  <si>
    <t>ถังเก็บน้ำไฟเบอร์กลาสใต้ดิน ขนาด 30,000 ลิตร พร้อม wire rope</t>
  </si>
  <si>
    <t>ทรายถม</t>
  </si>
  <si>
    <t>8.2.6</t>
  </si>
  <si>
    <t>8.2.7</t>
  </si>
  <si>
    <t xml:space="preserve">FLOAT SWITCH </t>
  </si>
  <si>
    <t xml:space="preserve">ระบบปั๊มน้ำ </t>
  </si>
  <si>
    <t>8.10.4</t>
  </si>
  <si>
    <t>8.10.5</t>
  </si>
  <si>
    <t>8.10.6</t>
  </si>
  <si>
    <t>8.10.7</t>
  </si>
  <si>
    <t>8.10.8</t>
  </si>
  <si>
    <t>8.10.9</t>
  </si>
  <si>
    <t>8.11.1.1</t>
  </si>
  <si>
    <t>8.11.1.2</t>
  </si>
  <si>
    <t>8.11.1.3</t>
  </si>
  <si>
    <t>งานปรุงหน้าดินเดิมด้วยผงยิบซั่ม และบดอัดแน่น (รายละเอียดตามแบบ)</t>
  </si>
  <si>
    <t xml:space="preserve">วัสดุยางสังเคราะห์ ประเภท B ผสมยางธรรมชาติ รุ่น Sandwich (NR) หนาไม่น้อยกว่า 13 มม. (พื้นลู่วิ่งระบบแซนวิสผสมยางธรรมชาติ) พร้อมงานตีเส้น (มาตรฐาน IAAF) และ prime coat  </t>
  </si>
  <si>
    <t>เครื่องสูบน้ำพร้อมมอเตอร์ขนาดไม่ต่ำกว่า 25 Hp</t>
  </si>
  <si>
    <t>ค่าติดตั้งประกอบชุด Booster Pump พร้อม Base plate และอุปกรณ์</t>
  </si>
  <si>
    <t>ข้อต่อ ท่อ PVC ขนาด 4 นิ้ว</t>
  </si>
  <si>
    <t>ท่อ PVC ขนาด 4 นิ้ว ชั้น 8.5</t>
  </si>
  <si>
    <t>คอนกรีตหยาบ หนา 0.05 ม.</t>
  </si>
  <si>
    <t>ราคาเดิม</t>
  </si>
  <si>
    <t>บ่อพัก ค.ส.ล. (ขนาด 0.9 x 0.9 x 0.5)</t>
  </si>
  <si>
    <t>บ่อพัก ค.ส.ล. (ขนาด 0.6 x 0.5 x 0.4)</t>
  </si>
  <si>
    <t>ตู้ควบคุมมอเตอร์ปั๊ม 30HP,380V/Magnetic, Overload ประกอบด้วย</t>
  </si>
  <si>
    <t xml:space="preserve">ไฟฟ้าเครื่องปั้มน้ำ </t>
  </si>
  <si>
    <r>
      <t xml:space="preserve">งานขอบลู่รอบนอก รางระบายน้ำรอบลู่นอก  </t>
    </r>
    <r>
      <rPr>
        <b/>
        <u/>
        <sz val="20"/>
        <color rgb="FFFF0000"/>
        <rFont val="TH Sarabun New"/>
        <family val="2"/>
      </rPr>
      <t xml:space="preserve"> </t>
    </r>
  </si>
  <si>
    <t>รวมค่าแรงและยาแนว</t>
  </si>
  <si>
    <t>ท่อ ค.ส.ล. สำเร็จรูป (ขนาด 0.60 ม.)</t>
  </si>
  <si>
    <t>ท่อ ค.ส.ล. สำเร็จรูป (ขนาด 0.30 ม.)</t>
  </si>
  <si>
    <t>อุปกรณ์ติดตั้ง</t>
  </si>
  <si>
    <t xml:space="preserve">สายไฟร้อยท่อ THW ขนาด 1.5 </t>
  </si>
  <si>
    <t>8.11.1.4</t>
  </si>
  <si>
    <t>8.11.1.5</t>
  </si>
  <si>
    <t xml:space="preserve">ระบบส่งน้ำ </t>
  </si>
  <si>
    <r>
      <t xml:space="preserve"> เมื่อวันที่  16</t>
    </r>
    <r>
      <rPr>
        <b/>
        <sz val="20"/>
        <color indexed="10"/>
        <rFont val="TH Sarabun New"/>
        <family val="2"/>
      </rPr>
      <t xml:space="preserve"> </t>
    </r>
    <r>
      <rPr>
        <b/>
        <sz val="20"/>
        <color indexed="8"/>
        <rFont val="TH Sarabun New"/>
        <family val="2"/>
      </rPr>
      <t>เดือน ตุลาคม   พ.ศ.  2568</t>
    </r>
  </si>
  <si>
    <t>คอนกรีตโครงสร้าง 240 KSC (ทรงกระบอก)  (ประคองรางระบายน้ำ)</t>
  </si>
  <si>
    <t>8.11.2</t>
  </si>
  <si>
    <t>8.11.2.1</t>
  </si>
  <si>
    <t>8.11.2.2</t>
  </si>
  <si>
    <t>8.11.2.3</t>
  </si>
  <si>
    <t>8.11.2.4</t>
  </si>
  <si>
    <t>8.11.2.5</t>
  </si>
  <si>
    <t>8.11.2.6</t>
  </si>
  <si>
    <t>8.11.3</t>
  </si>
  <si>
    <t>8.11.3.1</t>
  </si>
  <si>
    <t>8.11.3.2</t>
  </si>
  <si>
    <t>8.11.3.3</t>
  </si>
  <si>
    <t>8.11.3.4</t>
  </si>
  <si>
    <t>8.11.3.5</t>
  </si>
  <si>
    <t>8.11.3.6</t>
  </si>
  <si>
    <t>8.11.4</t>
  </si>
  <si>
    <t>8.11.4.1</t>
  </si>
  <si>
    <t>8.11.4.2</t>
  </si>
  <si>
    <t>8.11.4.3</t>
  </si>
  <si>
    <t>8.11.4.4</t>
  </si>
  <si>
    <t>8.11.4.5</t>
  </si>
  <si>
    <t>8.11.5</t>
  </si>
  <si>
    <t>8.11.5.1</t>
  </si>
  <si>
    <t>8.11.5.2</t>
  </si>
  <si>
    <t>8.11.5.3</t>
  </si>
  <si>
    <t>8.11.5.4</t>
  </si>
  <si>
    <t>8.11.5.5</t>
  </si>
  <si>
    <t>8.11.5.6</t>
  </si>
  <si>
    <t>8.11.6</t>
  </si>
  <si>
    <t>8.11.6.1</t>
  </si>
  <si>
    <t>8.11.6.2</t>
  </si>
  <si>
    <t>8.11.6.3</t>
  </si>
  <si>
    <t>8.11.6.4</t>
  </si>
  <si>
    <t>8.11.6.5</t>
  </si>
  <si>
    <t>8.11.6.6</t>
  </si>
  <si>
    <t>8.11.6.7</t>
  </si>
  <si>
    <t>8.11.6.8</t>
  </si>
  <si>
    <t>8.11.7</t>
  </si>
  <si>
    <t>8.11.7.1</t>
  </si>
  <si>
    <t>8.11.7.2</t>
  </si>
  <si>
    <t>8.11.7.3</t>
  </si>
  <si>
    <t>8.11.7.4</t>
  </si>
  <si>
    <t>8.11.7.5</t>
  </si>
  <si>
    <t>8.11.8</t>
  </si>
  <si>
    <t>8.11.8.1</t>
  </si>
  <si>
    <t>8.11.8.2</t>
  </si>
  <si>
    <t>8.11.8.3</t>
  </si>
  <si>
    <t>8.11.8.4</t>
  </si>
  <si>
    <t>8.11.8.5</t>
  </si>
  <si>
    <t>หมายเหตุ :</t>
  </si>
  <si>
    <t xml:space="preserve">1.) หลักเกณ์การคำนวณราคากลางตามพระราชบัญญัติการจัดซื้อจัดจ้างและการบริหารพัสดุภาครัฐ พ.ศ.2560 และตามประกาศคณะกรรมการราคากลางและขึ้นทะเบียนผู้ประกอบการเรื่องหลักเกณฑ์และวิธีการกำหนดราคากลางงานก่อสร้าง </t>
  </si>
  <si>
    <t>6.) อ้างอิงราคาค่าแรงงาน ตามหนังสือกรมบัญชีกลาง ที่ กค 0433.2/ว135 ลงวันที่ 3 มีนาคม 2566 เรื่องการปรับปรุงบัญชีค่าแรงงาน/ดำเนินการสำหรับถอดแบบคำนวณราคากลางงานก่อสร้าง</t>
  </si>
  <si>
    <t>7.) การคำนวณ Factor F ให้เป็นไปตามหลักเกณฑ์การคำนวณราคากลางงานก่อสร้างของคณะกรรมการราคากลางและขึ้นทะเบียนผู้ประกอบการ</t>
  </si>
  <si>
    <t>8.11.4.6</t>
  </si>
  <si>
    <t>ทรายหยาบรองพื้น</t>
  </si>
  <si>
    <t>2.) อ้างอิงราคาวัสดุราคาวัสดุก่อสร้างโดยใช้วิธีการสืบราคาตามท้องตลาดหรือโทรสอบถามร้านค้าภายในท้องถิ่น ฯ หรือสืบค้นจาก Internet/Web Site</t>
  </si>
  <si>
    <t>ราคากลางงานก่อสร้าง คณะกรรมการราคากลางและขึ้นทะเบียนผู้ประกอบการ คณะอนุกรรมการราคากลางงานก่อสร้าง เดือน ตุลาคม 2560 กรมบัญชีกลาง</t>
  </si>
  <si>
    <t xml:space="preserve">4.) อ้างอิงบัญชีราคาวัสดุก่อสร้างและค่าแรงงาน กลุ่มออกแบบและก่อสร้าง สำนักอำนวยการ สำนักงานคณะกรรมการการศึกษาขั้นพื้นฐาน  ปีงบประมาณ 2568  </t>
  </si>
  <si>
    <t xml:space="preserve">5.) อ้างอิงราคาวัสดุก่อสร้างจากสำนักนโยบายและยุทธศาสตร์การค้า กระทรวงพาณิชย์ สืบค้นจาก www.tpso.go.th ราคาวัสดุก่อสร้างจังหวัดขอนแก่น ประจำเดือน กันยายน  2568 </t>
  </si>
  <si>
    <t xml:space="preserve">3.) อ้างอิงราคาค่าแรงตาม บัญชีค่าแรงงาน/ดำเนินการสำหรับการถอดแบบคำนวณราคากลางงานก่อสร้างที่ประกาศใช้พร้อมหลักเกณฑ์การคำนวณราคากลางงานก่อสร้าง แนวทาง วิธีปฏิบัติและรายละเอียดประกอบการถอดแบบคำนวณ </t>
  </si>
  <si>
    <t xml:space="preserve">  ซึ่งประกาศในราชกิจจานุเบกษา ลงวันที่ 14 พฤศจิกายน 2560 และฉบับที่ 5 ประกาศ ณ วันที่ 1 สิงหาคม 2565</t>
  </si>
  <si>
    <t>ซึ่งจะพิจารณาโดยคำนึงถึงประโยชน์ของทางราชการเป็นสาระสำคัญ</t>
  </si>
  <si>
    <t xml:space="preserve">8.) หากปรากฎว่ามีความขัดแย้งกันระหว่าง แบบรูปรายการก่อสร้าง ,รายการประกอบแบบ และบัญชีแสดงรายการประมาณราคา (BOQ) ให้ยึดตามแบบรูปรายการเป็นหลักและให้ปฏิบัติตามคำวินิจฉัยของคณะกรรมการตรวจรับพัสดุในงานจ้างก่อสร้าง  </t>
  </si>
  <si>
    <t xml:space="preserve">จังหวัดขอนแก่น        </t>
  </si>
  <si>
    <r>
      <rPr>
        <b/>
        <sz val="14"/>
        <color theme="1"/>
        <rFont val="TH Sarabun New"/>
        <family val="2"/>
      </rPr>
      <t xml:space="preserve">ชื่อโครงการ/งานก่อสร้าง </t>
    </r>
    <r>
      <rPr>
        <sz val="14"/>
        <color theme="1"/>
        <rFont val="TH Sarabun New"/>
        <family val="2"/>
      </rPr>
      <t xml:space="preserve"> ปรับปรุงสนามกีฬามหาวิทยาลัยเทคโนโลยีราชมงคลอีสาน ตำบลในเมือง อำเภอเมืองขอนแก่น</t>
    </r>
  </si>
  <si>
    <r>
      <t xml:space="preserve">กลุ่มงาน/งาน  </t>
    </r>
    <r>
      <rPr>
        <sz val="14"/>
        <color indexed="8"/>
        <rFont val="TH Sarabun New"/>
        <family val="2"/>
      </rPr>
      <t>งานปรับปรุงก่อสร้าง</t>
    </r>
  </si>
  <si>
    <r>
      <rPr>
        <b/>
        <sz val="14"/>
        <color indexed="8"/>
        <rFont val="TH Sarabun New"/>
        <family val="2"/>
      </rPr>
      <t>ชื่อโครงการ/งานก่อสร้าง</t>
    </r>
    <r>
      <rPr>
        <sz val="14"/>
        <color indexed="8"/>
        <rFont val="TH Sarabun New"/>
        <family val="2"/>
      </rPr>
      <t xml:space="preserve"> ปรับปรุงสนามกีฬา มหาวิทยาลัยเทคโนโลยีราชมงคลอีสาน ตำบลในเมือง อำเภอเมืองขอนแก่น จังหวัดขอนแก่น        </t>
    </r>
  </si>
  <si>
    <r>
      <rPr>
        <b/>
        <sz val="14"/>
        <color indexed="8"/>
        <rFont val="TH Sarabun New"/>
        <family val="2"/>
      </rPr>
      <t xml:space="preserve">สถานที่ก่อสร้าง  </t>
    </r>
    <r>
      <rPr>
        <sz val="14"/>
        <color indexed="8"/>
        <rFont val="TH Sarabun New"/>
        <family val="2"/>
      </rPr>
      <t>มหาวิทยาลัยเทคโนโลยีราชมงคลอีสาน  วิทยาเขตขอนแก่น</t>
    </r>
  </si>
  <si>
    <r>
      <t xml:space="preserve">หน่วยงานเจ้าของโครงการ/งานก่อสร้าง  </t>
    </r>
    <r>
      <rPr>
        <sz val="14"/>
        <color indexed="8"/>
        <rFont val="TH Sarabun New"/>
        <family val="2"/>
      </rPr>
      <t>สำนักงานวิทยาเขตขอนแก่น มหาวิทยาลัยเทคโนโลยีราชมงคลอีสาน  วิทยาเขตขอนแก่น</t>
    </r>
  </si>
  <si>
    <r>
      <rPr>
        <b/>
        <sz val="14"/>
        <color indexed="8"/>
        <rFont val="TH Sarabun New"/>
        <family val="2"/>
      </rPr>
      <t xml:space="preserve">ประมาณราคาเมื่อวันที่ </t>
    </r>
    <r>
      <rPr>
        <sz val="14"/>
        <color indexed="8"/>
        <rFont val="TH Sarabun New"/>
        <family val="2"/>
      </rPr>
      <t xml:space="preserve"> </t>
    </r>
    <r>
      <rPr>
        <b/>
        <sz val="14"/>
        <color indexed="8"/>
        <rFont val="TH Sarabun New"/>
        <family val="2"/>
      </rPr>
      <t xml:space="preserve">16 </t>
    </r>
    <r>
      <rPr>
        <sz val="14"/>
        <color indexed="8"/>
        <rFont val="TH Sarabun New"/>
        <family val="2"/>
      </rPr>
      <t xml:space="preserve">  </t>
    </r>
    <r>
      <rPr>
        <b/>
        <sz val="14"/>
        <color indexed="8"/>
        <rFont val="TH Sarabun New"/>
        <family val="2"/>
      </rPr>
      <t>เดือน ตุลาคม</t>
    </r>
    <r>
      <rPr>
        <sz val="14"/>
        <color indexed="8"/>
        <rFont val="TH Sarabun New"/>
        <family val="2"/>
      </rPr>
      <t xml:space="preserve"> </t>
    </r>
    <r>
      <rPr>
        <b/>
        <sz val="14"/>
        <color indexed="8"/>
        <rFont val="TH Sarabun New"/>
        <family val="2"/>
      </rPr>
      <t>พ.ศ.</t>
    </r>
    <r>
      <rPr>
        <sz val="14"/>
        <color indexed="8"/>
        <rFont val="TH Sarabun New"/>
        <family val="2"/>
      </rPr>
      <t xml:space="preserve"> </t>
    </r>
    <r>
      <rPr>
        <b/>
        <sz val="14"/>
        <color indexed="8"/>
        <rFont val="TH Sarabun New"/>
        <family val="2"/>
      </rPr>
      <t xml:space="preserve">2568 </t>
    </r>
  </si>
  <si>
    <r>
      <rPr>
        <b/>
        <sz val="14"/>
        <color indexed="8"/>
        <rFont val="TH Sarabun New"/>
        <family val="2"/>
      </rPr>
      <t>แบบ ปร.4 ที่แนบ มีจำนวน</t>
    </r>
    <r>
      <rPr>
        <sz val="14"/>
        <color indexed="8"/>
        <rFont val="TH Sarabun New"/>
        <family val="2"/>
      </rPr>
      <t xml:space="preserve">  </t>
    </r>
    <r>
      <rPr>
        <b/>
        <sz val="14"/>
        <color indexed="8"/>
        <rFont val="TH Sarabun New"/>
        <family val="2"/>
      </rPr>
      <t>12  หน้า</t>
    </r>
  </si>
  <si>
    <t>ขนาดหรือเนื้อที่ก่อสร้าง จำนวน......18,000......ตร.ม.</t>
  </si>
  <si>
    <t>ทำเหมือนสนามบอล</t>
  </si>
  <si>
    <t>จะเปลี่ยนหญ้าก็ได้</t>
  </si>
  <si>
    <t>ตรวจสอบพื้นหัวกระโหลก</t>
  </si>
  <si>
    <t>หินคลุกบดอัดแน่นหนา 10 ซม. Compacted to 95% MOD ASSHO MIN</t>
  </si>
  <si>
    <t>งานปรับปรุงพื้นที่เดิม</t>
  </si>
  <si>
    <t>งานปรับปรุงสนามหญ้า</t>
  </si>
  <si>
    <t>รวมมูลค่างานงานงานปรับปรุงพื้นที่เดิม</t>
  </si>
  <si>
    <t xml:space="preserve">ลอกหน้าดินเดิม 10 ซม. </t>
  </si>
  <si>
    <t>พื้นแอสฟัลท์ หนา 10 ซม.</t>
  </si>
  <si>
    <t>งานไพร์โคท</t>
  </si>
  <si>
    <t>ลด</t>
  </si>
  <si>
    <t>หัวสปริงเกอร์ ขนาด 2" ปรับองศาได้ ระยะการยิงไม่น้อยกว่า 45 ม. พร้อมกุญแจวาล์ว</t>
  </si>
  <si>
    <t>ท่อสแตนเลสขนาด 2" ยาว 10 ซม. เกลียวนอกหัวท้าย</t>
  </si>
  <si>
    <t>วาล์วสวมเร็ว</t>
  </si>
  <si>
    <t>รื้อถอนรางระบาย คสล. รื้อขนทิ้ง</t>
  </si>
  <si>
    <t>งานเตรียมพื้นที่และขนย้ายดินเดิม</t>
  </si>
  <si>
    <t>กม.</t>
  </si>
  <si>
    <t>รวมมูลค่างานเตรียมพื้นที่และขนย้ายดินเดิม</t>
  </si>
  <si>
    <t>พื้นแอสฟัลท์ หนา 5 ซม.</t>
  </si>
  <si>
    <t xml:space="preserve">prime coat </t>
  </si>
  <si>
    <t>งานขนย้ายดินเดิม (หน้าดิน 10 ซม.)</t>
  </si>
  <si>
    <t xml:space="preserve">ดินเดิมบดอัดแน่นผสมผงยิปซั่ม หนา 0.20 ม. บดอัดแน่น (เฉพาะส่วนที่ปูหญ้า) Compacted to 85% STANDARD PROCTOR </t>
  </si>
  <si>
    <t xml:space="preserve">ดินเดิมบดอัดแน่นผสมผงยิปซั่ม หนา 0.20 ม. บดอัดแน่น Compacted to 85% STANDARD PROCTOR </t>
  </si>
  <si>
    <t>หินคลุกบดอัดแน่นหนา 15 ซม. Compacted to 95% STANDARD PROCTOR DENSITY</t>
  </si>
  <si>
    <t>MH 2 ขนาด 1 x 1 ม. ( 4 ทาง) พร้อมฝาปิดตะแกรงเหล็ก</t>
  </si>
  <si>
    <t>MH 3 ขนาดไม่น้อยกว่า 1 x 1 ม. ( 2 ทาง) พร้อมฝาปิดตะแกรงเหล็ก</t>
  </si>
  <si>
    <t>MH 1 ขนาด 65 x 65 ซม. ( 3 ทาง)  พร้อมฝาปิดคอนกรีต</t>
  </si>
  <si>
    <t>รางระบายน้ำคอนกรีตสำเร็จรูป  พร้อมฝาปิดตะแกรงเหล็ก</t>
  </si>
  <si>
    <t xml:space="preserve">ชั้นทราย TOP Soil หนา 0.01 ม. </t>
  </si>
  <si>
    <t>พื้นที่ลู่ - ลานกรีฑา พื้นยางสังเคราะห์ระบบ Sandwich มาตรฐาน WA หนาไม่น้อยกว่า 13 มม.  พร้อมวัสดุประสาน PU Primer พร้อมงานตีเส้น</t>
  </si>
  <si>
    <t>งานเตรียมแนว ปรับแต่งดิน  (ยาว 397 เมตร)</t>
  </si>
  <si>
    <t>งานเตรียมแนว ปรับแต่งดิน  (ยาว 493 เมตร)</t>
  </si>
  <si>
    <t>**ได้มาจาก กกท.ให้มา</t>
  </si>
  <si>
    <t>งานเตรียมแนว ขุดลอก และปรับแต่งดิน (ยาว 350 เมตร)</t>
  </si>
  <si>
    <t>ต้องเทลีนรองท่อบ่อพักไหม/เดินท่อระหว่างสนามออกมาจุดละ 50 เมตร จำนวน 4 จุด ท่อขนาด 60 ซม. ขุด ลึก 1 ม. กว้าง 1.2 ม.</t>
  </si>
  <si>
    <t>***ไม่ปรากฎค่าแรงวางท่อจากข้อมูลราคากลาง/ท้องตลาด</t>
  </si>
  <si>
    <t xml:space="preserve">ผนังก่ออิฐมอญ ครึ่งแผ่น ฉาบปูนเรียบ </t>
  </si>
  <si>
    <t>ไม้แบบหล่อคอนกรีต (ประคองรางระบายน้ำ)</t>
  </si>
  <si>
    <t xml:space="preserve">ชั้นทราย บดอัด หนา 0.1 ม. </t>
  </si>
  <si>
    <t xml:space="preserve">งานปรับแต่งเนินดินทิศตะวันออกบริเวณข้างกระถางคบเพลิง และงานปรับเนินดินทิศใต้ บริเวณหัวโค้งสนามเชื่อมต่อกับถนน </t>
  </si>
  <si>
    <t>ดินปลูก บดอัด หนา 10 ซม.</t>
  </si>
  <si>
    <t>ทาสีพื้นที่ Safe Zone</t>
  </si>
  <si>
    <t xml:space="preserve">4.) อ้างอิงราคาวัสดุก่อสร้างจากสำนักนโยบายและยุทธศาสตร์การค้า กระทรวงพาณิชย์ สืบค้นจาก www.tpso.go.th ราคาวัสดุก่อสร้างจังหวัดขอนแก่น ประจำเดือน ธันวาคม  2568 </t>
  </si>
  <si>
    <t>5.) อ้างอิงราคาค่าแรงงาน ตามหนังสือกรมบัญชีกลาง ที่ กค 0433.2/ว809 ลงวันที่ 14 พฤศจิกายน 2568 เรื่องการปรับปรุงบัญชีค่าแรงงาน/ดำเนินการสำหรับถอดแบบคำนวณราคากลางงานก่อสร้าง</t>
  </si>
  <si>
    <t>6.) การคำนวณ Factor F ให้เป็นไปตามหลักเกณฑ์การคำนวณราคากลางงานก่อสร้างของคณะกรรมการราคากลางและขึ้นทะเบียนผู้ประกอบการ</t>
  </si>
  <si>
    <t xml:space="preserve">7.) หากปรากฎว่ามีความขัดแย้งกันระหว่าง แบบรูปรายการก่อสร้าง ,รายการประกอบแบบ และบัญชีแสดงรายการประมาณราคา (BOQ) ให้ยึดตามแบบรูปรายการเป็นหลักและให้ปฏิบัติตามคำวินิจฉัยของคณะกรรมการตรวจรับพัสดุในงานจ้างก่อสร้าง  </t>
  </si>
  <si>
    <r>
      <rPr>
        <b/>
        <sz val="14"/>
        <color indexed="8"/>
        <rFont val="TH Sarabun New"/>
        <family val="2"/>
      </rPr>
      <t>แบบ ปร.4 ที่แนบ มีจำนวน</t>
    </r>
    <r>
      <rPr>
        <sz val="14"/>
        <color indexed="8"/>
        <rFont val="TH Sarabun New"/>
        <family val="2"/>
      </rPr>
      <t xml:space="preserve">  9</t>
    </r>
    <r>
      <rPr>
        <b/>
        <sz val="14"/>
        <color indexed="8"/>
        <rFont val="TH Sarabun New"/>
        <family val="2"/>
      </rPr>
      <t xml:space="preserve"> หน้า</t>
    </r>
  </si>
  <si>
    <r>
      <t xml:space="preserve"> เมื่อวันที่  8</t>
    </r>
    <r>
      <rPr>
        <b/>
        <sz val="20"/>
        <color indexed="10"/>
        <rFont val="TH Sarabun New"/>
        <family val="2"/>
      </rPr>
      <t xml:space="preserve"> </t>
    </r>
    <r>
      <rPr>
        <b/>
        <sz val="20"/>
        <color indexed="8"/>
        <rFont val="TH Sarabun New"/>
        <family val="2"/>
      </rPr>
      <t>เดือน มกราคม   พ.ศ.  2569</t>
    </r>
  </si>
  <si>
    <t>งานเตรียมพื้นที่ รื้อถอนต้นไม้พร้อมราก และปรับหน้าดินเดิมให้ได้ระดับ (รวมพื้นที่ลู่วิ่งเดิม)</t>
  </si>
  <si>
    <t xml:space="preserve">งานปูหญ้าพาสพาลั่ม พร้อมโรยปุ๋ยและทราย </t>
  </si>
  <si>
    <r>
      <rPr>
        <b/>
        <sz val="14"/>
        <color indexed="8"/>
        <rFont val="TH Sarabun New"/>
        <family val="2"/>
      </rPr>
      <t xml:space="preserve">ประมาณราคาเมื่อวันที่ </t>
    </r>
    <r>
      <rPr>
        <sz val="14"/>
        <color indexed="8"/>
        <rFont val="TH Sarabun New"/>
        <family val="2"/>
      </rPr>
      <t xml:space="preserve"> 8</t>
    </r>
    <r>
      <rPr>
        <b/>
        <sz val="14"/>
        <color indexed="8"/>
        <rFont val="TH Sarabun New"/>
        <family val="2"/>
      </rPr>
      <t xml:space="preserve"> </t>
    </r>
    <r>
      <rPr>
        <sz val="14"/>
        <color indexed="8"/>
        <rFont val="TH Sarabun New"/>
        <family val="2"/>
      </rPr>
      <t xml:space="preserve">  </t>
    </r>
    <r>
      <rPr>
        <b/>
        <sz val="14"/>
        <color indexed="8"/>
        <rFont val="TH Sarabun New"/>
        <family val="2"/>
      </rPr>
      <t>เดือน มกราคม</t>
    </r>
    <r>
      <rPr>
        <sz val="14"/>
        <color indexed="8"/>
        <rFont val="TH Sarabun New"/>
        <family val="2"/>
      </rPr>
      <t xml:space="preserve"> </t>
    </r>
    <r>
      <rPr>
        <b/>
        <sz val="14"/>
        <color indexed="8"/>
        <rFont val="TH Sarabun New"/>
        <family val="2"/>
      </rPr>
      <t>พ.ศ.</t>
    </r>
    <r>
      <rPr>
        <sz val="14"/>
        <color indexed="8"/>
        <rFont val="TH Sarabun New"/>
        <family val="2"/>
      </rPr>
      <t xml:space="preserve"> </t>
    </r>
    <r>
      <rPr>
        <b/>
        <sz val="14"/>
        <color indexed="8"/>
        <rFont val="TH Sarabun New"/>
        <family val="2"/>
      </rPr>
      <t xml:space="preserve">2569 </t>
    </r>
  </si>
  <si>
    <r>
      <t xml:space="preserve">แบบ ปร.4 และ ปร.5 ปร.6  ที่แนบ  มีจำนวน     </t>
    </r>
    <r>
      <rPr>
        <b/>
        <sz val="14"/>
        <color indexed="8"/>
        <rFont val="TH Sarabun New"/>
        <family val="2"/>
      </rPr>
      <t xml:space="preserve"> 11      หน้า</t>
    </r>
  </si>
  <si>
    <r>
      <t xml:space="preserve">ประมาณราคา    </t>
    </r>
    <r>
      <rPr>
        <b/>
        <sz val="14"/>
        <color indexed="8"/>
        <rFont val="TH Sarabun New"/>
        <family val="2"/>
      </rPr>
      <t xml:space="preserve"> เมื่อวันที่  8  เดือน  มกราคม พ.ศ. 2569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</si>
</sst>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</numFmts>
  <fonts count="9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AngsanaUPC"/>
      <family val="1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color indexed="8"/>
      <name val="TH Sarabun New"/>
      <family val="2"/>
    </font>
    <font>
      <b/>
      <sz val="16"/>
      <color indexed="8"/>
      <name val="TH Sarabun New"/>
      <family val="2"/>
    </font>
    <font>
      <b/>
      <sz val="16"/>
      <name val="TH Sarabun New"/>
      <family val="2"/>
    </font>
    <font>
      <b/>
      <u/>
      <sz val="14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  <font>
      <sz val="14"/>
      <color indexed="8"/>
      <name val="TH Sarabun New"/>
      <family val="2"/>
    </font>
    <font>
      <b/>
      <sz val="14"/>
      <color indexed="8"/>
      <name val="TH Sarabun New"/>
      <family val="2"/>
    </font>
    <font>
      <b/>
      <sz val="14"/>
      <color theme="1"/>
      <name val="TH SarabunPSK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4"/>
      <color rgb="FF000000"/>
      <name val="TH SarabunPSK"/>
      <family val="2"/>
    </font>
    <font>
      <sz val="16"/>
      <color theme="0"/>
      <name val="TH Sarabun New"/>
      <family val="2"/>
    </font>
    <font>
      <sz val="16"/>
      <color theme="0"/>
      <name val="TH SarabunPSK"/>
      <family val="2"/>
    </font>
    <font>
      <b/>
      <sz val="11"/>
      <color indexed="8"/>
      <name val="TH SarabunPSK"/>
      <family val="2"/>
    </font>
    <font>
      <sz val="14"/>
      <color theme="0"/>
      <name val="TH Sarabun New"/>
      <family val="2"/>
    </font>
    <font>
      <sz val="14"/>
      <color theme="0"/>
      <name val="Cordia New"/>
      <family val="2"/>
    </font>
    <font>
      <b/>
      <sz val="20"/>
      <color indexed="8"/>
      <name val="TH Sarabun New"/>
      <family val="2"/>
    </font>
    <font>
      <sz val="20"/>
      <color indexed="8"/>
      <name val="TH Sarabun New"/>
      <family val="2"/>
    </font>
    <font>
      <sz val="20"/>
      <color indexed="8"/>
      <name val="TH SarabunPSK"/>
      <family val="2"/>
    </font>
    <font>
      <b/>
      <sz val="20"/>
      <color indexed="8"/>
      <name val="TH SarabunPSK"/>
      <family val="2"/>
    </font>
    <font>
      <b/>
      <sz val="20"/>
      <color indexed="10"/>
      <name val="TH Sarabun New"/>
      <family val="2"/>
    </font>
    <font>
      <b/>
      <sz val="20"/>
      <color rgb="FFFF0000"/>
      <name val="TH SarabunPSK"/>
      <family val="2"/>
    </font>
    <font>
      <b/>
      <sz val="20"/>
      <name val="TH Sarabun New"/>
      <family val="2"/>
    </font>
    <font>
      <b/>
      <sz val="20"/>
      <color rgb="FF0070C0"/>
      <name val="TH Sarabun New"/>
      <family val="2"/>
      <charset val="222"/>
    </font>
    <font>
      <sz val="20"/>
      <name val="TH Sarabun New"/>
      <family val="2"/>
    </font>
    <font>
      <b/>
      <u/>
      <sz val="20"/>
      <name val="TH Sarabun New"/>
      <family val="2"/>
    </font>
    <font>
      <b/>
      <sz val="20"/>
      <color rgb="FFFF0000"/>
      <name val="TH Sarabun New"/>
      <family val="2"/>
    </font>
    <font>
      <sz val="20"/>
      <color rgb="FFFF0000"/>
      <name val="TH Sarabun New"/>
      <family val="2"/>
    </font>
    <font>
      <sz val="20"/>
      <color rgb="FF0070C0"/>
      <name val="TH SarabunPSK"/>
      <family val="2"/>
    </font>
    <font>
      <sz val="20"/>
      <name val="TH SarabunPSK"/>
      <family val="2"/>
    </font>
    <font>
      <b/>
      <sz val="20"/>
      <color rgb="FF0070C0"/>
      <name val="TH SarabunPSK"/>
      <family val="2"/>
      <charset val="222"/>
    </font>
    <font>
      <b/>
      <sz val="20"/>
      <name val="TH SarabunPSK"/>
      <family val="2"/>
    </font>
    <font>
      <b/>
      <u/>
      <sz val="20"/>
      <name val="TH SarabunPSK"/>
      <family val="2"/>
    </font>
    <font>
      <sz val="20"/>
      <color rgb="FFFF0000"/>
      <name val="TH SarabunPSK"/>
      <family val="2"/>
    </font>
    <font>
      <sz val="20"/>
      <color theme="1"/>
      <name val="TH Sarabun New"/>
      <family val="2"/>
    </font>
    <font>
      <b/>
      <sz val="20"/>
      <color theme="1"/>
      <name val="TH Sarabun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u/>
      <sz val="20"/>
      <color rgb="FFFF0000"/>
      <name val="TH SarabunPSK"/>
      <family val="2"/>
      <charset val="222"/>
    </font>
    <font>
      <u/>
      <sz val="14"/>
      <color theme="10"/>
      <name val="Cordia New"/>
      <family val="2"/>
    </font>
    <font>
      <sz val="20"/>
      <color theme="0"/>
      <name val="TH Sarabun New"/>
      <family val="2"/>
    </font>
    <font>
      <b/>
      <sz val="20"/>
      <name val="TH SarabunPSK"/>
      <family val="2"/>
      <charset val="222"/>
    </font>
    <font>
      <b/>
      <sz val="16"/>
      <color rgb="FFFF0000"/>
      <name val="Cordia New"/>
      <family val="2"/>
      <charset val="222"/>
    </font>
    <font>
      <sz val="20"/>
      <color rgb="FF00B050"/>
      <name val="TH Sarabun New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b/>
      <u/>
      <sz val="20"/>
      <color rgb="FFFF0000"/>
      <name val="TH Sarabun New"/>
      <family val="2"/>
    </font>
    <font>
      <sz val="14"/>
      <color indexed="8"/>
      <name val="TH SarabunPSK"/>
      <family val="2"/>
    </font>
    <font>
      <sz val="18"/>
      <name val="Angsana New"/>
      <family val="1"/>
    </font>
    <font>
      <sz val="18"/>
      <color indexed="8"/>
      <name val="Angsana New"/>
      <family val="1"/>
    </font>
    <font>
      <b/>
      <sz val="20"/>
      <name val="Angsana New"/>
      <family val="1"/>
    </font>
    <font>
      <sz val="20"/>
      <name val="Angsana New"/>
      <family val="1"/>
    </font>
    <font>
      <sz val="20"/>
      <color indexed="8"/>
      <name val="Angsana New"/>
      <family val="1"/>
    </font>
    <font>
      <b/>
      <sz val="14"/>
      <color indexed="8"/>
      <name val="TH SarabunPSK"/>
      <family val="2"/>
    </font>
    <font>
      <b/>
      <sz val="14"/>
      <color indexed="8"/>
      <name val="TH SarabunPSK"/>
      <family val="2"/>
      <charset val="222"/>
    </font>
    <font>
      <sz val="14"/>
      <color theme="0"/>
      <name val="TH SarabunPSK"/>
      <family val="2"/>
    </font>
    <font>
      <b/>
      <sz val="20"/>
      <color rgb="FFFF0000"/>
      <name val="TH NiramitIT๙"/>
    </font>
    <font>
      <b/>
      <sz val="20"/>
      <color theme="0"/>
      <name val="TH SarabunPSK"/>
      <family val="2"/>
    </font>
    <font>
      <sz val="20"/>
      <color theme="0"/>
      <name val="TH SarabunPSK"/>
      <family val="2"/>
    </font>
    <font>
      <b/>
      <sz val="20"/>
      <color rgb="FFFF0000"/>
      <name val="TH SarabunPSK"/>
      <family val="2"/>
      <charset val="222"/>
    </font>
    <font>
      <b/>
      <sz val="20"/>
      <color rgb="FFFF0000"/>
      <name val="TH Sarabun New"/>
      <family val="2"/>
      <charset val="222"/>
    </font>
    <font>
      <b/>
      <sz val="20"/>
      <name val="TH Sarabun New"/>
      <family val="2"/>
      <charset val="222"/>
    </font>
    <font>
      <sz val="18"/>
      <color indexed="8"/>
      <name val="TH Sarabun New"/>
      <family val="2"/>
    </font>
    <font>
      <b/>
      <sz val="18"/>
      <color indexed="8"/>
      <name val="TH Sarabun New"/>
      <family val="2"/>
    </font>
    <font>
      <b/>
      <sz val="18"/>
      <name val="TH Sarabun New"/>
      <family val="2"/>
    </font>
    <font>
      <sz val="18"/>
      <name val="TH Sarabun New"/>
      <family val="2"/>
    </font>
    <font>
      <sz val="18"/>
      <color rgb="FFFF0000"/>
      <name val="TH Sarabun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indexed="8"/>
      <name val="TH SarabunPSK"/>
      <family val="2"/>
    </font>
    <font>
      <b/>
      <sz val="20"/>
      <color theme="0"/>
      <name val="TH NiramitIT๙"/>
    </font>
    <font>
      <b/>
      <sz val="14"/>
      <color theme="0"/>
      <name val="TH SarabunPSK"/>
      <family val="2"/>
    </font>
    <font>
      <b/>
      <sz val="20"/>
      <color theme="0"/>
      <name val="TH Sarabun New"/>
      <family val="2"/>
    </font>
    <font>
      <b/>
      <sz val="20"/>
      <color theme="0"/>
      <name val="TH Sarabun New"/>
      <family val="2"/>
      <charset val="222"/>
    </font>
    <font>
      <b/>
      <sz val="20"/>
      <color theme="0"/>
      <name val="TH SarabunPSK"/>
      <family val="2"/>
      <charset val="222"/>
    </font>
    <font>
      <u/>
      <sz val="14"/>
      <color theme="0"/>
      <name val="Cordia Ne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53" fillId="0" borderId="0" applyNumberFormat="0" applyFill="0" applyBorder="0" applyAlignment="0" applyProtection="0"/>
  </cellStyleXfs>
  <cellXfs count="71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/>
    <xf numFmtId="164" fontId="4" fillId="0" borderId="0" xfId="2" applyFont="1" applyFill="1" applyBorder="1"/>
    <xf numFmtId="0" fontId="18" fillId="0" borderId="2" xfId="13" applyFont="1" applyBorder="1"/>
    <xf numFmtId="0" fontId="18" fillId="0" borderId="2" xfId="13" applyFont="1" applyBorder="1" applyAlignment="1">
      <alignment vertical="center"/>
    </xf>
    <xf numFmtId="0" fontId="18" fillId="0" borderId="3" xfId="13" applyFont="1" applyBorder="1"/>
    <xf numFmtId="0" fontId="18" fillId="0" borderId="3" xfId="13" applyFont="1" applyBorder="1" applyAlignment="1">
      <alignment vertical="center"/>
    </xf>
    <xf numFmtId="0" fontId="6" fillId="0" borderId="0" xfId="0" applyFont="1"/>
    <xf numFmtId="0" fontId="11" fillId="0" borderId="2" xfId="0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right"/>
    </xf>
    <xf numFmtId="0" fontId="11" fillId="0" borderId="4" xfId="0" applyFont="1" applyBorder="1"/>
    <xf numFmtId="0" fontId="10" fillId="0" borderId="4" xfId="0" applyFont="1" applyBorder="1"/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" xfId="0" quotePrefix="1" applyFont="1" applyBorder="1" applyAlignment="1">
      <alignment horizontal="center"/>
    </xf>
    <xf numFmtId="166" fontId="10" fillId="0" borderId="1" xfId="2" applyNumberFormat="1" applyFont="1" applyBorder="1" applyAlignment="1">
      <alignment horizontal="center"/>
    </xf>
    <xf numFmtId="164" fontId="10" fillId="0" borderId="1" xfId="0" applyNumberFormat="1" applyFont="1" applyBorder="1"/>
    <xf numFmtId="165" fontId="10" fillId="0" borderId="1" xfId="2" applyNumberFormat="1" applyFont="1" applyBorder="1"/>
    <xf numFmtId="165" fontId="10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8" xfId="0" applyFont="1" applyBorder="1"/>
    <xf numFmtId="0" fontId="10" fillId="0" borderId="1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49" fontId="11" fillId="2" borderId="8" xfId="0" applyNumberFormat="1" applyFont="1" applyFill="1" applyBorder="1" applyAlignment="1">
      <alignment horizontal="center"/>
    </xf>
    <xf numFmtId="164" fontId="10" fillId="0" borderId="8" xfId="0" applyNumberFormat="1" applyFont="1" applyBorder="1"/>
    <xf numFmtId="164" fontId="11" fillId="0" borderId="9" xfId="2" applyFont="1" applyFill="1" applyBorder="1"/>
    <xf numFmtId="165" fontId="11" fillId="0" borderId="10" xfId="0" applyNumberFormat="1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 applyAlignment="1">
      <alignment horizontal="center"/>
    </xf>
    <xf numFmtId="0" fontId="15" fillId="0" borderId="1" xfId="16" applyFont="1" applyBorder="1" applyAlignment="1">
      <alignment horizontal="left" vertical="top"/>
    </xf>
    <xf numFmtId="0" fontId="20" fillId="0" borderId="3" xfId="13" applyFont="1" applyBorder="1" applyAlignment="1">
      <alignment horizontal="left"/>
    </xf>
    <xf numFmtId="0" fontId="20" fillId="0" borderId="3" xfId="13" applyFont="1" applyBorder="1"/>
    <xf numFmtId="0" fontId="20" fillId="0" borderId="3" xfId="13" applyFont="1" applyBorder="1" applyAlignment="1">
      <alignment vertical="center"/>
    </xf>
    <xf numFmtId="0" fontId="20" fillId="0" borderId="12" xfId="13" applyFont="1" applyBorder="1" applyAlignment="1">
      <alignment horizontal="center" vertical="center" wrapText="1"/>
    </xf>
    <xf numFmtId="0" fontId="20" fillId="0" borderId="7" xfId="13" applyFont="1" applyBorder="1" applyAlignment="1">
      <alignment horizontal="center" vertical="center" wrapText="1"/>
    </xf>
    <xf numFmtId="0" fontId="21" fillId="0" borderId="13" xfId="13" applyFont="1" applyBorder="1" applyAlignment="1">
      <alignment horizontal="center" vertical="center"/>
    </xf>
    <xf numFmtId="0" fontId="16" fillId="0" borderId="14" xfId="13" applyFont="1" applyBorder="1"/>
    <xf numFmtId="0" fontId="21" fillId="0" borderId="15" xfId="13" applyFont="1" applyBorder="1" applyAlignment="1">
      <alignment horizontal="center" vertical="center"/>
    </xf>
    <xf numFmtId="0" fontId="21" fillId="0" borderId="16" xfId="13" applyFont="1" applyBorder="1" applyAlignment="1">
      <alignment vertical="center"/>
    </xf>
    <xf numFmtId="0" fontId="21" fillId="0" borderId="15" xfId="13" applyFont="1" applyBorder="1" applyAlignment="1">
      <alignment vertical="center"/>
    </xf>
    <xf numFmtId="0" fontId="21" fillId="0" borderId="17" xfId="13" applyFont="1" applyBorder="1" applyAlignment="1">
      <alignment vertical="center"/>
    </xf>
    <xf numFmtId="0" fontId="20" fillId="0" borderId="9" xfId="13" applyFont="1" applyBorder="1" applyAlignment="1">
      <alignment vertical="center"/>
    </xf>
    <xf numFmtId="0" fontId="20" fillId="0" borderId="18" xfId="13" applyFont="1" applyBorder="1" applyAlignment="1">
      <alignment horizontal="right" vertical="center"/>
    </xf>
    <xf numFmtId="0" fontId="20" fillId="0" borderId="9" xfId="13" applyFont="1" applyBorder="1" applyAlignment="1">
      <alignment horizontal="right" vertical="center"/>
    </xf>
    <xf numFmtId="0" fontId="21" fillId="0" borderId="19" xfId="13" applyFont="1" applyBorder="1" applyAlignment="1">
      <alignment vertical="center"/>
    </xf>
    <xf numFmtId="0" fontId="21" fillId="0" borderId="20" xfId="13" applyFont="1" applyBorder="1" applyAlignment="1">
      <alignment vertical="center"/>
    </xf>
    <xf numFmtId="0" fontId="21" fillId="0" borderId="21" xfId="13" applyFont="1" applyBorder="1" applyAlignment="1">
      <alignment vertical="center"/>
    </xf>
    <xf numFmtId="0" fontId="21" fillId="0" borderId="22" xfId="13" applyFont="1" applyBorder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0" applyFont="1"/>
    <xf numFmtId="164" fontId="0" fillId="0" borderId="0" xfId="2" applyFont="1"/>
    <xf numFmtId="0" fontId="23" fillId="0" borderId="25" xfId="0" applyFont="1" applyBorder="1" applyAlignment="1">
      <alignment horizontal="center" vertical="center" wrapText="1"/>
    </xf>
    <xf numFmtId="164" fontId="0" fillId="0" borderId="0" xfId="0" applyNumberFormat="1"/>
    <xf numFmtId="0" fontId="23" fillId="0" borderId="26" xfId="0" applyFont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15" fillId="3" borderId="1" xfId="16" applyFont="1" applyFill="1" applyBorder="1" applyAlignment="1">
      <alignment horizontal="left" vertical="top"/>
    </xf>
    <xf numFmtId="0" fontId="15" fillId="3" borderId="0" xfId="16" applyFont="1" applyFill="1" applyAlignment="1">
      <alignment horizontal="left" vertical="top"/>
    </xf>
    <xf numFmtId="165" fontId="4" fillId="0" borderId="27" xfId="0" applyNumberFormat="1" applyFont="1" applyBorder="1"/>
    <xf numFmtId="164" fontId="11" fillId="0" borderId="1" xfId="0" applyNumberFormat="1" applyFont="1" applyBorder="1"/>
    <xf numFmtId="0" fontId="20" fillId="0" borderId="2" xfId="13" applyFont="1" applyBorder="1"/>
    <xf numFmtId="0" fontId="20" fillId="0" borderId="2" xfId="13" applyFont="1" applyBorder="1" applyAlignment="1">
      <alignment vertical="center"/>
    </xf>
    <xf numFmtId="164" fontId="5" fillId="0" borderId="0" xfId="0" applyNumberFormat="1" applyFont="1"/>
    <xf numFmtId="0" fontId="15" fillId="0" borderId="1" xfId="16" applyFont="1" applyBorder="1" applyAlignment="1">
      <alignment horizontal="left" vertical="top" wrapText="1"/>
    </xf>
    <xf numFmtId="164" fontId="19" fillId="2" borderId="1" xfId="2" applyFont="1" applyFill="1" applyBorder="1" applyAlignment="1">
      <alignment horizontal="center"/>
    </xf>
    <xf numFmtId="4" fontId="11" fillId="0" borderId="1" xfId="0" applyNumberFormat="1" applyFont="1" applyBorder="1"/>
    <xf numFmtId="166" fontId="11" fillId="0" borderId="1" xfId="2" applyNumberFormat="1" applyFont="1" applyBorder="1" applyAlignment="1">
      <alignment horizontal="center"/>
    </xf>
    <xf numFmtId="164" fontId="5" fillId="0" borderId="0" xfId="2" applyFont="1"/>
    <xf numFmtId="43" fontId="5" fillId="0" borderId="0" xfId="0" applyNumberFormat="1" applyFont="1"/>
    <xf numFmtId="0" fontId="10" fillId="0" borderId="1" xfId="0" quotePrefix="1" applyFont="1" applyBorder="1" applyAlignment="1">
      <alignment horizontal="center" vertical="top"/>
    </xf>
    <xf numFmtId="164" fontId="10" fillId="0" borderId="1" xfId="0" applyNumberFormat="1" applyFont="1" applyBorder="1" applyAlignment="1">
      <alignment vertical="top"/>
    </xf>
    <xf numFmtId="164" fontId="19" fillId="2" borderId="28" xfId="2" applyFont="1" applyFill="1" applyBorder="1" applyAlignment="1">
      <alignment horizontal="center"/>
    </xf>
    <xf numFmtId="0" fontId="10" fillId="0" borderId="28" xfId="0" quotePrefix="1" applyFont="1" applyBorder="1" applyAlignment="1">
      <alignment horizontal="center"/>
    </xf>
    <xf numFmtId="0" fontId="15" fillId="0" borderId="28" xfId="16" applyFont="1" applyBorder="1" applyAlignment="1">
      <alignment horizontal="left" vertical="top"/>
    </xf>
    <xf numFmtId="166" fontId="10" fillId="0" borderId="28" xfId="2" applyNumberFormat="1" applyFont="1" applyBorder="1" applyAlignment="1">
      <alignment horizontal="center"/>
    </xf>
    <xf numFmtId="164" fontId="10" fillId="0" borderId="28" xfId="0" applyNumberFormat="1" applyFont="1" applyBorder="1"/>
    <xf numFmtId="165" fontId="10" fillId="0" borderId="28" xfId="2" applyNumberFormat="1" applyFont="1" applyBorder="1"/>
    <xf numFmtId="0" fontId="24" fillId="0" borderId="0" xfId="0" applyFont="1"/>
    <xf numFmtId="0" fontId="25" fillId="0" borderId="0" xfId="0" applyFont="1"/>
    <xf numFmtId="0" fontId="11" fillId="0" borderId="0" xfId="0" applyFont="1" applyAlignment="1">
      <alignment horizontal="center"/>
    </xf>
    <xf numFmtId="164" fontId="25" fillId="0" borderId="0" xfId="0" applyNumberFormat="1" applyFont="1"/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8" fillId="0" borderId="0" xfId="0" applyFont="1"/>
    <xf numFmtId="0" fontId="27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2" fillId="0" borderId="1" xfId="16" applyFont="1" applyBorder="1" applyAlignment="1">
      <alignment horizontal="center" vertical="top" wrapText="1"/>
    </xf>
    <xf numFmtId="165" fontId="11" fillId="0" borderId="1" xfId="2" applyNumberFormat="1" applyFont="1" applyBorder="1"/>
    <xf numFmtId="164" fontId="11" fillId="0" borderId="10" xfId="2" applyFont="1" applyFill="1" applyBorder="1"/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29" fillId="0" borderId="2" xfId="0" applyFont="1" applyBorder="1" applyAlignment="1">
      <alignment horizontal="right"/>
    </xf>
    <xf numFmtId="0" fontId="30" fillId="0" borderId="2" xfId="0" applyFont="1" applyBorder="1"/>
    <xf numFmtId="0" fontId="30" fillId="0" borderId="2" xfId="0" applyFont="1" applyBorder="1" applyAlignment="1">
      <alignment horizontal="center"/>
    </xf>
    <xf numFmtId="0" fontId="30" fillId="0" borderId="3" xfId="0" applyFont="1" applyBorder="1"/>
    <xf numFmtId="0" fontId="30" fillId="0" borderId="3" xfId="0" applyFont="1" applyBorder="1" applyAlignment="1">
      <alignment horizontal="right"/>
    </xf>
    <xf numFmtId="0" fontId="29" fillId="0" borderId="3" xfId="0" applyFont="1" applyBorder="1"/>
    <xf numFmtId="0" fontId="30" fillId="0" borderId="0" xfId="0" applyFont="1" applyAlignment="1">
      <alignment horizontal="left"/>
    </xf>
    <xf numFmtId="164" fontId="32" fillId="0" borderId="0" xfId="0" applyNumberFormat="1" applyFont="1"/>
    <xf numFmtId="0" fontId="30" fillId="0" borderId="0" xfId="0" applyFont="1" applyAlignment="1">
      <alignment horizontal="center"/>
    </xf>
    <xf numFmtId="164" fontId="32" fillId="6" borderId="0" xfId="2" applyFont="1" applyFill="1" applyAlignment="1"/>
    <xf numFmtId="0" fontId="30" fillId="0" borderId="11" xfId="0" applyFont="1" applyBorder="1" applyAlignment="1">
      <alignment horizontal="left"/>
    </xf>
    <xf numFmtId="0" fontId="30" fillId="0" borderId="11" xfId="0" applyFont="1" applyBorder="1"/>
    <xf numFmtId="0" fontId="30" fillId="0" borderId="11" xfId="0" applyFont="1" applyBorder="1" applyAlignment="1">
      <alignment horizontal="center"/>
    </xf>
    <xf numFmtId="0" fontId="29" fillId="0" borderId="11" xfId="0" applyFont="1" applyBorder="1" applyAlignment="1">
      <alignment horizontal="right"/>
    </xf>
    <xf numFmtId="43" fontId="34" fillId="5" borderId="0" xfId="0" applyNumberFormat="1" applyFont="1" applyFill="1"/>
    <xf numFmtId="0" fontId="35" fillId="9" borderId="1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2" fillId="0" borderId="0" xfId="0" applyFont="1"/>
    <xf numFmtId="0" fontId="29" fillId="0" borderId="0" xfId="0" applyFont="1"/>
    <xf numFmtId="0" fontId="36" fillId="0" borderId="0" xfId="0" applyFont="1"/>
    <xf numFmtId="165" fontId="36" fillId="0" borderId="0" xfId="2" applyNumberFormat="1" applyFont="1"/>
    <xf numFmtId="0" fontId="38" fillId="7" borderId="1" xfId="16" applyFont="1" applyFill="1" applyBorder="1" applyAlignment="1">
      <alignment horizontal="left" vertical="top"/>
    </xf>
    <xf numFmtId="3" fontId="37" fillId="7" borderId="1" xfId="16" applyNumberFormat="1" applyFont="1" applyFill="1" applyBorder="1" applyAlignment="1">
      <alignment horizontal="center" vertical="top"/>
    </xf>
    <xf numFmtId="4" fontId="37" fillId="7" borderId="1" xfId="16" applyNumberFormat="1" applyFont="1" applyFill="1" applyBorder="1" applyAlignment="1">
      <alignment horizontal="right" vertical="top"/>
    </xf>
    <xf numFmtId="164" fontId="37" fillId="7" borderId="1" xfId="2" applyFont="1" applyFill="1" applyBorder="1" applyAlignment="1">
      <alignment horizontal="center"/>
    </xf>
    <xf numFmtId="0" fontId="37" fillId="7" borderId="1" xfId="0" applyFont="1" applyFill="1" applyBorder="1"/>
    <xf numFmtId="0" fontId="37" fillId="0" borderId="1" xfId="16" applyFont="1" applyBorder="1" applyAlignment="1">
      <alignment horizontal="left" vertical="top" wrapText="1"/>
    </xf>
    <xf numFmtId="164" fontId="37" fillId="0" borderId="1" xfId="2" applyFont="1" applyBorder="1" applyAlignment="1">
      <alignment horizontal="center" vertical="top"/>
    </xf>
    <xf numFmtId="3" fontId="37" fillId="0" borderId="1" xfId="16" applyNumberFormat="1" applyFont="1" applyBorder="1" applyAlignment="1">
      <alignment horizontal="center" vertical="top"/>
    </xf>
    <xf numFmtId="4" fontId="37" fillId="0" borderId="1" xfId="16" applyNumberFormat="1" applyFont="1" applyBorder="1" applyAlignment="1">
      <alignment horizontal="right" vertical="top"/>
    </xf>
    <xf numFmtId="164" fontId="37" fillId="0" borderId="1" xfId="2" applyFont="1" applyBorder="1" applyAlignment="1">
      <alignment horizontal="center"/>
    </xf>
    <xf numFmtId="0" fontId="37" fillId="0" borderId="1" xfId="0" applyFont="1" applyBorder="1" applyAlignment="1">
      <alignment vertical="top"/>
    </xf>
    <xf numFmtId="0" fontId="30" fillId="0" borderId="0" xfId="0" applyFont="1" applyAlignment="1">
      <alignment vertical="top"/>
    </xf>
    <xf numFmtId="0" fontId="31" fillId="5" borderId="0" xfId="0" applyFont="1" applyFill="1" applyAlignment="1">
      <alignment vertical="top"/>
    </xf>
    <xf numFmtId="164" fontId="39" fillId="5" borderId="0" xfId="2" applyFont="1" applyFill="1" applyAlignment="1">
      <alignment vertical="top"/>
    </xf>
    <xf numFmtId="0" fontId="30" fillId="5" borderId="0" xfId="0" applyFont="1" applyFill="1" applyAlignment="1">
      <alignment vertical="top"/>
    </xf>
    <xf numFmtId="0" fontId="40" fillId="5" borderId="0" xfId="0" applyFont="1" applyFill="1" applyAlignment="1">
      <alignment vertical="top"/>
    </xf>
    <xf numFmtId="0" fontId="31" fillId="0" borderId="0" xfId="0" applyFont="1" applyAlignment="1">
      <alignment vertical="top"/>
    </xf>
    <xf numFmtId="164" fontId="37" fillId="0" borderId="1" xfId="2" applyFont="1" applyFill="1" applyBorder="1" applyAlignment="1">
      <alignment horizontal="center" vertical="top"/>
    </xf>
    <xf numFmtId="164" fontId="37" fillId="0" borderId="1" xfId="2" applyFont="1" applyFill="1" applyBorder="1" applyAlignment="1">
      <alignment horizontal="center"/>
    </xf>
    <xf numFmtId="164" fontId="39" fillId="0" borderId="0" xfId="2" applyFont="1" applyFill="1" applyAlignment="1">
      <alignment vertical="top"/>
    </xf>
    <xf numFmtId="0" fontId="40" fillId="0" borderId="0" xfId="0" applyFont="1" applyAlignment="1">
      <alignment vertical="top"/>
    </xf>
    <xf numFmtId="0" fontId="37" fillId="0" borderId="1" xfId="16" applyFont="1" applyBorder="1" applyAlignment="1">
      <alignment horizontal="left" vertical="top"/>
    </xf>
    <xf numFmtId="0" fontId="37" fillId="0" borderId="1" xfId="0" applyFont="1" applyBorder="1"/>
    <xf numFmtId="164" fontId="36" fillId="0" borderId="0" xfId="2" applyFont="1" applyAlignment="1"/>
    <xf numFmtId="0" fontId="41" fillId="0" borderId="0" xfId="0" applyFont="1"/>
    <xf numFmtId="164" fontId="39" fillId="0" borderId="0" xfId="2" applyFont="1"/>
    <xf numFmtId="0" fontId="40" fillId="0" borderId="0" xfId="0" applyFont="1"/>
    <xf numFmtId="43" fontId="37" fillId="0" borderId="1" xfId="2" applyNumberFormat="1" applyFont="1" applyFill="1" applyBorder="1" applyAlignment="1">
      <alignment horizontal="center"/>
    </xf>
    <xf numFmtId="0" fontId="37" fillId="0" borderId="0" xfId="0" applyFont="1"/>
    <xf numFmtId="0" fontId="42" fillId="0" borderId="0" xfId="0" applyFont="1"/>
    <xf numFmtId="164" fontId="35" fillId="0" borderId="0" xfId="2" applyFont="1" applyFill="1"/>
    <xf numFmtId="0" fontId="35" fillId="8" borderId="1" xfId="0" applyFont="1" applyFill="1" applyBorder="1" applyAlignment="1">
      <alignment horizontal="center" vertical="center"/>
    </xf>
    <xf numFmtId="0" fontId="35" fillId="8" borderId="1" xfId="16" applyFont="1" applyFill="1" applyBorder="1" applyAlignment="1">
      <alignment horizontal="center" vertical="top"/>
    </xf>
    <xf numFmtId="3" fontId="35" fillId="8" borderId="1" xfId="16" applyNumberFormat="1" applyFont="1" applyFill="1" applyBorder="1" applyAlignment="1">
      <alignment horizontal="center" vertical="top"/>
    </xf>
    <xf numFmtId="4" fontId="35" fillId="8" borderId="1" xfId="16" applyNumberFormat="1" applyFont="1" applyFill="1" applyBorder="1" applyAlignment="1">
      <alignment horizontal="right" vertical="top"/>
    </xf>
    <xf numFmtId="164" fontId="35" fillId="8" borderId="1" xfId="2" applyFont="1" applyFill="1" applyBorder="1" applyAlignment="1">
      <alignment horizontal="center"/>
    </xf>
    <xf numFmtId="0" fontId="35" fillId="8" borderId="1" xfId="0" applyFont="1" applyFill="1" applyBorder="1"/>
    <xf numFmtId="0" fontId="29" fillId="4" borderId="0" xfId="0" applyFont="1" applyFill="1"/>
    <xf numFmtId="0" fontId="36" fillId="0" borderId="0" xfId="0" applyFont="1" applyAlignment="1">
      <alignment horizontal="left"/>
    </xf>
    <xf numFmtId="0" fontId="32" fillId="4" borderId="0" xfId="0" applyFont="1" applyFill="1"/>
    <xf numFmtId="164" fontId="43" fillId="0" borderId="0" xfId="2" applyFont="1"/>
    <xf numFmtId="0" fontId="37" fillId="8" borderId="1" xfId="0" applyFont="1" applyFill="1" applyBorder="1" applyAlignment="1">
      <alignment horizontal="center" vertical="center"/>
    </xf>
    <xf numFmtId="3" fontId="37" fillId="8" borderId="1" xfId="16" applyNumberFormat="1" applyFont="1" applyFill="1" applyBorder="1" applyAlignment="1">
      <alignment horizontal="center" vertical="top"/>
    </xf>
    <xf numFmtId="4" fontId="37" fillId="8" borderId="1" xfId="16" applyNumberFormat="1" applyFont="1" applyFill="1" applyBorder="1" applyAlignment="1">
      <alignment horizontal="right" vertical="top"/>
    </xf>
    <xf numFmtId="0" fontId="37" fillId="8" borderId="1" xfId="0" applyFont="1" applyFill="1" applyBorder="1"/>
    <xf numFmtId="0" fontId="35" fillId="7" borderId="1" xfId="0" applyFont="1" applyFill="1" applyBorder="1" applyAlignment="1">
      <alignment horizontal="center" vertical="center"/>
    </xf>
    <xf numFmtId="3" fontId="35" fillId="7" borderId="1" xfId="16" applyNumberFormat="1" applyFont="1" applyFill="1" applyBorder="1" applyAlignment="1">
      <alignment horizontal="center" vertical="top"/>
    </xf>
    <xf numFmtId="4" fontId="35" fillId="7" borderId="1" xfId="16" applyNumberFormat="1" applyFont="1" applyFill="1" applyBorder="1" applyAlignment="1">
      <alignment horizontal="right" vertical="top"/>
    </xf>
    <xf numFmtId="164" fontId="35" fillId="7" borderId="1" xfId="2" applyFont="1" applyFill="1" applyBorder="1" applyAlignment="1">
      <alignment horizontal="center"/>
    </xf>
    <xf numFmtId="0" fontId="30" fillId="3" borderId="0" xfId="0" applyFont="1" applyFill="1"/>
    <xf numFmtId="0" fontId="31" fillId="3" borderId="0" xfId="0" applyFont="1" applyFill="1"/>
    <xf numFmtId="0" fontId="37" fillId="2" borderId="1" xfId="16" applyFont="1" applyFill="1" applyBorder="1" applyAlignment="1">
      <alignment horizontal="left" vertical="top"/>
    </xf>
    <xf numFmtId="0" fontId="37" fillId="3" borderId="1" xfId="0" applyFont="1" applyFill="1" applyBorder="1"/>
    <xf numFmtId="0" fontId="35" fillId="0" borderId="0" xfId="0" applyFont="1"/>
    <xf numFmtId="0" fontId="35" fillId="4" borderId="0" xfId="0" applyFont="1" applyFill="1"/>
    <xf numFmtId="164" fontId="37" fillId="2" borderId="1" xfId="2" applyFont="1" applyFill="1" applyBorder="1" applyAlignment="1">
      <alignment horizontal="center"/>
    </xf>
    <xf numFmtId="3" fontId="37" fillId="2" borderId="1" xfId="16" applyNumberFormat="1" applyFont="1" applyFill="1" applyBorder="1" applyAlignment="1">
      <alignment horizontal="center" vertical="top"/>
    </xf>
    <xf numFmtId="4" fontId="37" fillId="2" borderId="1" xfId="16" applyNumberFormat="1" applyFont="1" applyFill="1" applyBorder="1" applyAlignment="1">
      <alignment horizontal="right" vertical="top"/>
    </xf>
    <xf numFmtId="0" fontId="37" fillId="2" borderId="1" xfId="0" applyFont="1" applyFill="1" applyBorder="1"/>
    <xf numFmtId="0" fontId="30" fillId="2" borderId="0" xfId="0" applyFont="1" applyFill="1"/>
    <xf numFmtId="0" fontId="31" fillId="2" borderId="0" xfId="0" applyFont="1" applyFill="1"/>
    <xf numFmtId="0" fontId="44" fillId="7" borderId="1" xfId="0" applyFont="1" applyFill="1" applyBorder="1" applyAlignment="1">
      <alignment horizontal="center" vertical="center"/>
    </xf>
    <xf numFmtId="3" fontId="44" fillId="7" borderId="1" xfId="16" applyNumberFormat="1" applyFont="1" applyFill="1" applyBorder="1" applyAlignment="1">
      <alignment horizontal="center" vertical="top"/>
    </xf>
    <xf numFmtId="4" fontId="44" fillId="7" borderId="1" xfId="16" applyNumberFormat="1" applyFont="1" applyFill="1" applyBorder="1" applyAlignment="1">
      <alignment horizontal="right" vertical="top"/>
    </xf>
    <xf numFmtId="164" fontId="44" fillId="7" borderId="1" xfId="2" applyFont="1" applyFill="1" applyBorder="1" applyAlignment="1">
      <alignment horizontal="center"/>
    </xf>
    <xf numFmtId="0" fontId="44" fillId="7" borderId="1" xfId="0" applyFont="1" applyFill="1" applyBorder="1"/>
    <xf numFmtId="4" fontId="42" fillId="0" borderId="1" xfId="16" applyNumberFormat="1" applyFont="1" applyBorder="1" applyAlignment="1">
      <alignment horizontal="right" vertical="top"/>
    </xf>
    <xf numFmtId="164" fontId="42" fillId="0" borderId="1" xfId="2" applyFont="1" applyBorder="1" applyAlignment="1">
      <alignment horizontal="center"/>
    </xf>
    <xf numFmtId="0" fontId="44" fillId="0" borderId="1" xfId="0" applyFont="1" applyBorder="1"/>
    <xf numFmtId="0" fontId="46" fillId="0" borderId="0" xfId="0" applyFont="1"/>
    <xf numFmtId="0" fontId="44" fillId="2" borderId="1" xfId="0" applyFont="1" applyFill="1" applyBorder="1" applyAlignment="1">
      <alignment horizontal="center" vertical="center"/>
    </xf>
    <xf numFmtId="0" fontId="44" fillId="2" borderId="1" xfId="0" applyFont="1" applyFill="1" applyBorder="1"/>
    <xf numFmtId="4" fontId="42" fillId="2" borderId="1" xfId="16" applyNumberFormat="1" applyFont="1" applyFill="1" applyBorder="1" applyAlignment="1">
      <alignment horizontal="right" vertical="top"/>
    </xf>
    <xf numFmtId="164" fontId="42" fillId="2" borderId="1" xfId="2" applyFont="1" applyFill="1" applyBorder="1" applyAlignment="1">
      <alignment horizontal="center"/>
    </xf>
    <xf numFmtId="164" fontId="42" fillId="0" borderId="1" xfId="2" applyFont="1" applyFill="1" applyBorder="1" applyAlignment="1">
      <alignment horizontal="center"/>
    </xf>
    <xf numFmtId="164" fontId="46" fillId="0" borderId="0" xfId="0" applyNumberFormat="1" applyFont="1"/>
    <xf numFmtId="0" fontId="34" fillId="0" borderId="1" xfId="0" applyFont="1" applyBorder="1"/>
    <xf numFmtId="164" fontId="34" fillId="0" borderId="1" xfId="0" applyNumberFormat="1" applyFont="1" applyBorder="1"/>
    <xf numFmtId="0" fontId="42" fillId="2" borderId="1" xfId="0" applyFont="1" applyFill="1" applyBorder="1"/>
    <xf numFmtId="0" fontId="42" fillId="2" borderId="0" xfId="0" applyFont="1" applyFill="1"/>
    <xf numFmtId="0" fontId="44" fillId="8" borderId="1" xfId="0" applyFont="1" applyFill="1" applyBorder="1" applyAlignment="1">
      <alignment horizontal="center" vertical="center"/>
    </xf>
    <xf numFmtId="0" fontId="44" fillId="8" borderId="1" xfId="16" applyFont="1" applyFill="1" applyBorder="1" applyAlignment="1">
      <alignment horizontal="center" vertical="center"/>
    </xf>
    <xf numFmtId="3" fontId="44" fillId="8" borderId="1" xfId="16" applyNumberFormat="1" applyFont="1" applyFill="1" applyBorder="1" applyAlignment="1">
      <alignment horizontal="center" vertical="top"/>
    </xf>
    <xf numFmtId="4" fontId="44" fillId="8" borderId="1" xfId="16" applyNumberFormat="1" applyFont="1" applyFill="1" applyBorder="1" applyAlignment="1">
      <alignment horizontal="right" vertical="top"/>
    </xf>
    <xf numFmtId="164" fontId="44" fillId="8" borderId="1" xfId="2" applyFont="1" applyFill="1" applyBorder="1" applyAlignment="1">
      <alignment horizontal="center"/>
    </xf>
    <xf numFmtId="0" fontId="44" fillId="8" borderId="1" xfId="0" applyFont="1" applyFill="1" applyBorder="1"/>
    <xf numFmtId="164" fontId="47" fillId="7" borderId="1" xfId="2" applyFont="1" applyFill="1" applyBorder="1" applyAlignment="1">
      <alignment horizontal="center"/>
    </xf>
    <xf numFmtId="0" fontId="30" fillId="7" borderId="1" xfId="0" applyFont="1" applyFill="1" applyBorder="1"/>
    <xf numFmtId="164" fontId="31" fillId="2" borderId="0" xfId="0" applyNumberFormat="1" applyFont="1" applyFill="1"/>
    <xf numFmtId="0" fontId="30" fillId="2" borderId="1" xfId="0" applyFont="1" applyFill="1" applyBorder="1" applyAlignment="1">
      <alignment horizontal="center" vertical="center"/>
    </xf>
    <xf numFmtId="164" fontId="47" fillId="0" borderId="1" xfId="2" applyFont="1" applyBorder="1" applyAlignment="1">
      <alignment horizontal="right"/>
    </xf>
    <xf numFmtId="164" fontId="47" fillId="0" borderId="1" xfId="2" applyFont="1" applyBorder="1" applyAlignment="1">
      <alignment horizontal="center"/>
    </xf>
    <xf numFmtId="0" fontId="30" fillId="2" borderId="1" xfId="0" applyFont="1" applyFill="1" applyBorder="1"/>
    <xf numFmtId="0" fontId="35" fillId="2" borderId="1" xfId="16" applyFont="1" applyFill="1" applyBorder="1" applyAlignment="1">
      <alignment horizontal="left" vertical="top"/>
    </xf>
    <xf numFmtId="164" fontId="47" fillId="2" borderId="1" xfId="2" applyFont="1" applyFill="1" applyBorder="1" applyAlignment="1">
      <alignment horizontal="center"/>
    </xf>
    <xf numFmtId="164" fontId="47" fillId="2" borderId="1" xfId="2" applyFont="1" applyFill="1" applyBorder="1" applyAlignment="1">
      <alignment horizontal="right"/>
    </xf>
    <xf numFmtId="0" fontId="29" fillId="8" borderId="1" xfId="0" applyFont="1" applyFill="1" applyBorder="1" applyAlignment="1">
      <alignment horizontal="center" vertical="center"/>
    </xf>
    <xf numFmtId="164" fontId="48" fillId="8" borderId="1" xfId="2" applyFont="1" applyFill="1" applyBorder="1" applyAlignment="1">
      <alignment horizontal="center"/>
    </xf>
    <xf numFmtId="0" fontId="29" fillId="8" borderId="1" xfId="0" applyFont="1" applyFill="1" applyBorder="1"/>
    <xf numFmtId="0" fontId="31" fillId="10" borderId="1" xfId="0" applyFont="1" applyFill="1" applyBorder="1"/>
    <xf numFmtId="0" fontId="29" fillId="10" borderId="1" xfId="0" applyFont="1" applyFill="1" applyBorder="1" applyAlignment="1">
      <alignment horizontal="center"/>
    </xf>
    <xf numFmtId="0" fontId="31" fillId="10" borderId="1" xfId="0" applyFont="1" applyFill="1" applyBorder="1" applyAlignment="1">
      <alignment horizontal="center"/>
    </xf>
    <xf numFmtId="43" fontId="32" fillId="10" borderId="1" xfId="0" applyNumberFormat="1" applyFont="1" applyFill="1" applyBorder="1"/>
    <xf numFmtId="0" fontId="31" fillId="2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50" fillId="0" borderId="0" xfId="6" applyFont="1"/>
    <xf numFmtId="0" fontId="18" fillId="0" borderId="0" xfId="6" applyFont="1"/>
    <xf numFmtId="0" fontId="40" fillId="0" borderId="1" xfId="0" applyFont="1" applyBorder="1"/>
    <xf numFmtId="0" fontId="53" fillId="0" borderId="0" xfId="17"/>
    <xf numFmtId="0" fontId="54" fillId="2" borderId="1" xfId="0" applyFont="1" applyFill="1" applyBorder="1"/>
    <xf numFmtId="3" fontId="44" fillId="2" borderId="1" xfId="16" applyNumberFormat="1" applyFont="1" applyFill="1" applyBorder="1" applyAlignment="1">
      <alignment horizontal="center" vertical="top"/>
    </xf>
    <xf numFmtId="4" fontId="44" fillId="2" borderId="1" xfId="16" applyNumberFormat="1" applyFont="1" applyFill="1" applyBorder="1" applyAlignment="1">
      <alignment horizontal="right" vertical="top"/>
    </xf>
    <xf numFmtId="164" fontId="44" fillId="2" borderId="1" xfId="2" applyFont="1" applyFill="1" applyBorder="1" applyAlignment="1">
      <alignment horizontal="center"/>
    </xf>
    <xf numFmtId="0" fontId="44" fillId="2" borderId="1" xfId="16" applyFont="1" applyFill="1" applyBorder="1" applyAlignment="1">
      <alignment horizontal="left" vertical="top"/>
    </xf>
    <xf numFmtId="0" fontId="55" fillId="2" borderId="1" xfId="16" applyFont="1" applyFill="1" applyBorder="1" applyAlignment="1">
      <alignment horizontal="left" vertical="top"/>
    </xf>
    <xf numFmtId="0" fontId="55" fillId="2" borderId="1" xfId="0" applyFont="1" applyFill="1" applyBorder="1" applyAlignment="1">
      <alignment horizontal="center" vertical="center"/>
    </xf>
    <xf numFmtId="0" fontId="55" fillId="11" borderId="1" xfId="0" applyFont="1" applyFill="1" applyBorder="1" applyAlignment="1">
      <alignment horizontal="center" vertical="center"/>
    </xf>
    <xf numFmtId="3" fontId="44" fillId="11" borderId="1" xfId="16" applyNumberFormat="1" applyFont="1" applyFill="1" applyBorder="1" applyAlignment="1">
      <alignment horizontal="center" vertical="top"/>
    </xf>
    <xf numFmtId="4" fontId="44" fillId="11" borderId="1" xfId="16" applyNumberFormat="1" applyFont="1" applyFill="1" applyBorder="1" applyAlignment="1">
      <alignment horizontal="right" vertical="top"/>
    </xf>
    <xf numFmtId="164" fontId="44" fillId="11" borderId="1" xfId="2" applyFont="1" applyFill="1" applyBorder="1" applyAlignment="1">
      <alignment horizontal="center"/>
    </xf>
    <xf numFmtId="0" fontId="44" fillId="11" borderId="1" xfId="0" applyFont="1" applyFill="1" applyBorder="1"/>
    <xf numFmtId="0" fontId="55" fillId="11" borderId="1" xfId="16" applyFont="1" applyFill="1" applyBorder="1" applyAlignment="1">
      <alignment horizontal="center" vertical="top"/>
    </xf>
    <xf numFmtId="0" fontId="37" fillId="2" borderId="1" xfId="0" applyFont="1" applyFill="1" applyBorder="1" applyAlignment="1">
      <alignment horizontal="center" vertical="center"/>
    </xf>
    <xf numFmtId="0" fontId="44" fillId="11" borderId="1" xfId="0" applyFont="1" applyFill="1" applyBorder="1" applyAlignment="1">
      <alignment horizontal="center" vertical="center"/>
    </xf>
    <xf numFmtId="164" fontId="37" fillId="11" borderId="1" xfId="2" applyFont="1" applyFill="1" applyBorder="1" applyAlignment="1">
      <alignment horizontal="center"/>
    </xf>
    <xf numFmtId="3" fontId="37" fillId="11" borderId="1" xfId="16" applyNumberFormat="1" applyFont="1" applyFill="1" applyBorder="1" applyAlignment="1">
      <alignment horizontal="center" vertical="top"/>
    </xf>
    <xf numFmtId="4" fontId="42" fillId="11" borderId="1" xfId="16" applyNumberFormat="1" applyFont="1" applyFill="1" applyBorder="1" applyAlignment="1">
      <alignment horizontal="right" vertical="top"/>
    </xf>
    <xf numFmtId="164" fontId="42" fillId="11" borderId="1" xfId="2" applyFont="1" applyFill="1" applyBorder="1" applyAlignment="1">
      <alignment horizontal="center"/>
    </xf>
    <xf numFmtId="0" fontId="35" fillId="11" borderId="1" xfId="16" applyFont="1" applyFill="1" applyBorder="1" applyAlignment="1">
      <alignment horizontal="center" vertical="top"/>
    </xf>
    <xf numFmtId="0" fontId="37" fillId="2" borderId="1" xfId="16" applyFont="1" applyFill="1" applyBorder="1" applyAlignment="1">
      <alignment horizontal="center" vertical="top"/>
    </xf>
    <xf numFmtId="164" fontId="34" fillId="0" borderId="0" xfId="0" applyNumberFormat="1" applyFont="1"/>
    <xf numFmtId="0" fontId="42" fillId="11" borderId="1" xfId="0" applyFont="1" applyFill="1" applyBorder="1"/>
    <xf numFmtId="0" fontId="37" fillId="0" borderId="1" xfId="0" applyFont="1" applyBorder="1" applyAlignment="1">
      <alignment horizontal="center" vertical="top"/>
    </xf>
    <xf numFmtId="0" fontId="37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2" fontId="44" fillId="2" borderId="1" xfId="0" applyNumberFormat="1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4" fontId="37" fillId="11" borderId="1" xfId="16" applyNumberFormat="1" applyFont="1" applyFill="1" applyBorder="1" applyAlignment="1">
      <alignment horizontal="right" vertical="top"/>
    </xf>
    <xf numFmtId="0" fontId="30" fillId="11" borderId="1" xfId="0" applyFont="1" applyFill="1" applyBorder="1"/>
    <xf numFmtId="164" fontId="48" fillId="11" borderId="1" xfId="2" applyFont="1" applyFill="1" applyBorder="1" applyAlignment="1">
      <alignment horizontal="center"/>
    </xf>
    <xf numFmtId="43" fontId="30" fillId="2" borderId="1" xfId="0" applyNumberFormat="1" applyFont="1" applyFill="1" applyBorder="1"/>
    <xf numFmtId="0" fontId="35" fillId="0" borderId="1" xfId="16" applyFont="1" applyBorder="1" applyAlignment="1">
      <alignment horizontal="left" vertical="top"/>
    </xf>
    <xf numFmtId="4" fontId="44" fillId="0" borderId="1" xfId="2" applyNumberFormat="1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7" fillId="0" borderId="1" xfId="2" applyNumberFormat="1" applyFont="1" applyFill="1" applyBorder="1" applyAlignment="1"/>
    <xf numFmtId="0" fontId="47" fillId="0" borderId="1" xfId="16" applyFont="1" applyBorder="1" applyAlignment="1">
      <alignment horizontal="left" vertical="top"/>
    </xf>
    <xf numFmtId="0" fontId="37" fillId="2" borderId="1" xfId="0" applyFont="1" applyFill="1" applyBorder="1" applyAlignment="1">
      <alignment horizontal="center" vertical="top"/>
    </xf>
    <xf numFmtId="164" fontId="39" fillId="2" borderId="0" xfId="2" applyFont="1" applyFill="1"/>
    <xf numFmtId="0" fontId="40" fillId="2" borderId="0" xfId="0" applyFont="1" applyFill="1"/>
    <xf numFmtId="164" fontId="37" fillId="2" borderId="1" xfId="2" applyFont="1" applyFill="1" applyBorder="1" applyAlignment="1">
      <alignment horizontal="center" vertical="top"/>
    </xf>
    <xf numFmtId="164" fontId="40" fillId="0" borderId="1" xfId="2" applyFont="1" applyFill="1" applyBorder="1" applyAlignment="1">
      <alignment horizontal="center"/>
    </xf>
    <xf numFmtId="0" fontId="47" fillId="2" borderId="1" xfId="16" applyFont="1" applyFill="1" applyBorder="1" applyAlignment="1">
      <alignment horizontal="left" vertical="top"/>
    </xf>
    <xf numFmtId="164" fontId="47" fillId="0" borderId="1" xfId="2" applyFont="1" applyFill="1" applyBorder="1" applyAlignment="1">
      <alignment horizontal="center"/>
    </xf>
    <xf numFmtId="4" fontId="57" fillId="0" borderId="1" xfId="16" applyNumberFormat="1" applyFont="1" applyBorder="1" applyAlignment="1">
      <alignment horizontal="right" vertical="top"/>
    </xf>
    <xf numFmtId="4" fontId="58" fillId="2" borderId="1" xfId="16" applyNumberFormat="1" applyFont="1" applyFill="1" applyBorder="1" applyAlignment="1">
      <alignment horizontal="right" vertical="top"/>
    </xf>
    <xf numFmtId="164" fontId="58" fillId="2" borderId="1" xfId="2" applyFont="1" applyFill="1" applyBorder="1" applyAlignment="1">
      <alignment horizontal="center"/>
    </xf>
    <xf numFmtId="4" fontId="47" fillId="2" borderId="1" xfId="16" applyNumberFormat="1" applyFont="1" applyFill="1" applyBorder="1" applyAlignment="1">
      <alignment horizontal="right" vertical="top"/>
    </xf>
    <xf numFmtId="3" fontId="47" fillId="2" borderId="1" xfId="16" applyNumberFormat="1" applyFont="1" applyFill="1" applyBorder="1" applyAlignment="1">
      <alignment horizontal="center" vertical="top"/>
    </xf>
    <xf numFmtId="164" fontId="59" fillId="2" borderId="1" xfId="2" applyFont="1" applyFill="1" applyBorder="1" applyAlignment="1">
      <alignment horizontal="center"/>
    </xf>
    <xf numFmtId="0" fontId="45" fillId="7" borderId="1" xfId="16" applyFont="1" applyFill="1" applyBorder="1" applyAlignment="1">
      <alignment horizontal="left" vertical="top"/>
    </xf>
    <xf numFmtId="164" fontId="60" fillId="2" borderId="1" xfId="2" applyFont="1" applyFill="1" applyBorder="1" applyAlignment="1">
      <alignment horizontal="center"/>
    </xf>
    <xf numFmtId="164" fontId="61" fillId="2" borderId="1" xfId="2" applyFont="1" applyFill="1" applyBorder="1" applyAlignment="1">
      <alignment horizontal="center"/>
    </xf>
    <xf numFmtId="4" fontId="59" fillId="0" borderId="1" xfId="16" applyNumberFormat="1" applyFont="1" applyBorder="1" applyAlignment="1">
      <alignment horizontal="right" vertical="top"/>
    </xf>
    <xf numFmtId="164" fontId="59" fillId="0" borderId="1" xfId="2" applyFont="1" applyFill="1" applyBorder="1" applyAlignment="1">
      <alignment horizontal="center"/>
    </xf>
    <xf numFmtId="4" fontId="61" fillId="0" borderId="1" xfId="2" applyNumberFormat="1" applyFont="1" applyBorder="1" applyAlignment="1">
      <alignment horizontal="center" vertical="center"/>
    </xf>
    <xf numFmtId="3" fontId="47" fillId="0" borderId="1" xfId="16" applyNumberFormat="1" applyFont="1" applyBorder="1" applyAlignment="1">
      <alignment horizontal="center" vertical="top"/>
    </xf>
    <xf numFmtId="4" fontId="47" fillId="0" borderId="1" xfId="16" applyNumberFormat="1" applyFont="1" applyBorder="1" applyAlignment="1">
      <alignment horizontal="right" vertical="top"/>
    </xf>
    <xf numFmtId="0" fontId="48" fillId="0" borderId="1" xfId="16" applyFont="1" applyBorder="1" applyAlignment="1">
      <alignment horizontal="left" vertical="top"/>
    </xf>
    <xf numFmtId="4" fontId="55" fillId="0" borderId="1" xfId="2" applyNumberFormat="1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37" fillId="0" borderId="23" xfId="16" applyFont="1" applyBorder="1" applyAlignment="1">
      <alignment horizontal="left" vertical="top"/>
    </xf>
    <xf numFmtId="3" fontId="37" fillId="0" borderId="23" xfId="16" applyNumberFormat="1" applyFont="1" applyBorder="1" applyAlignment="1">
      <alignment horizontal="center" vertical="top"/>
    </xf>
    <xf numFmtId="4" fontId="42" fillId="0" borderId="23" xfId="16" applyNumberFormat="1" applyFont="1" applyBorder="1" applyAlignment="1">
      <alignment horizontal="right" vertical="top"/>
    </xf>
    <xf numFmtId="164" fontId="42" fillId="0" borderId="23" xfId="2" applyFont="1" applyFill="1" applyBorder="1" applyAlignment="1">
      <alignment horizontal="center"/>
    </xf>
    <xf numFmtId="0" fontId="44" fillId="0" borderId="23" xfId="0" applyFont="1" applyBorder="1"/>
    <xf numFmtId="0" fontId="42" fillId="0" borderId="28" xfId="0" applyFont="1" applyBorder="1" applyAlignment="1">
      <alignment horizontal="center" vertical="center"/>
    </xf>
    <xf numFmtId="4" fontId="42" fillId="0" borderId="28" xfId="16" applyNumberFormat="1" applyFont="1" applyBorder="1" applyAlignment="1">
      <alignment horizontal="right" vertical="top"/>
    </xf>
    <xf numFmtId="164" fontId="42" fillId="0" borderId="28" xfId="2" applyFont="1" applyFill="1" applyBorder="1" applyAlignment="1">
      <alignment horizontal="center"/>
    </xf>
    <xf numFmtId="0" fontId="44" fillId="0" borderId="28" xfId="0" applyFont="1" applyBorder="1"/>
    <xf numFmtId="0" fontId="37" fillId="0" borderId="0" xfId="16" applyFont="1" applyAlignment="1">
      <alignment horizontal="left" vertical="top"/>
    </xf>
    <xf numFmtId="3" fontId="37" fillId="0" borderId="0" xfId="16" applyNumberFormat="1" applyFont="1" applyAlignment="1">
      <alignment horizontal="center" vertical="top"/>
    </xf>
    <xf numFmtId="164" fontId="42" fillId="0" borderId="0" xfId="2" applyFont="1" applyFill="1" applyBorder="1" applyAlignment="1">
      <alignment horizontal="center"/>
    </xf>
    <xf numFmtId="0" fontId="37" fillId="0" borderId="43" xfId="16" applyFont="1" applyBorder="1" applyAlignment="1">
      <alignment horizontal="left" vertical="top"/>
    </xf>
    <xf numFmtId="164" fontId="42" fillId="0" borderId="43" xfId="2" applyFont="1" applyFill="1" applyBorder="1" applyAlignment="1">
      <alignment horizontal="center"/>
    </xf>
    <xf numFmtId="0" fontId="37" fillId="0" borderId="42" xfId="16" applyFont="1" applyBorder="1" applyAlignment="1">
      <alignment horizontal="left" vertical="top"/>
    </xf>
    <xf numFmtId="3" fontId="37" fillId="0" borderId="42" xfId="16" applyNumberFormat="1" applyFont="1" applyBorder="1" applyAlignment="1">
      <alignment horizontal="center" vertical="top"/>
    </xf>
    <xf numFmtId="164" fontId="42" fillId="0" borderId="42" xfId="2" applyFont="1" applyFill="1" applyBorder="1" applyAlignment="1">
      <alignment horizontal="center"/>
    </xf>
    <xf numFmtId="0" fontId="42" fillId="0" borderId="44" xfId="0" applyFont="1" applyBorder="1" applyAlignment="1">
      <alignment horizontal="center" vertical="center"/>
    </xf>
    <xf numFmtId="164" fontId="40" fillId="0" borderId="44" xfId="2" applyFont="1" applyFill="1" applyBorder="1" applyAlignment="1">
      <alignment horizontal="center"/>
    </xf>
    <xf numFmtId="164" fontId="40" fillId="0" borderId="28" xfId="2" applyFont="1" applyFill="1" applyBorder="1" applyAlignment="1">
      <alignment horizontal="center"/>
    </xf>
    <xf numFmtId="4" fontId="42" fillId="0" borderId="44" xfId="16" applyNumberFormat="1" applyFont="1" applyBorder="1" applyAlignment="1">
      <alignment horizontal="right" vertical="top"/>
    </xf>
    <xf numFmtId="164" fontId="42" fillId="0" borderId="44" xfId="2" applyFont="1" applyFill="1" applyBorder="1" applyAlignment="1">
      <alignment horizontal="center"/>
    </xf>
    <xf numFmtId="0" fontId="44" fillId="0" borderId="44" xfId="0" applyFont="1" applyBorder="1"/>
    <xf numFmtId="0" fontId="46" fillId="2" borderId="0" xfId="0" applyFont="1" applyFill="1"/>
    <xf numFmtId="164" fontId="46" fillId="2" borderId="0" xfId="0" applyNumberFormat="1" applyFont="1" applyFill="1"/>
    <xf numFmtId="4" fontId="55" fillId="2" borderId="1" xfId="2" applyNumberFormat="1" applyFont="1" applyFill="1" applyBorder="1" applyAlignment="1">
      <alignment horizontal="center" vertical="center"/>
    </xf>
    <xf numFmtId="0" fontId="48" fillId="2" borderId="1" xfId="16" applyFont="1" applyFill="1" applyBorder="1" applyAlignment="1">
      <alignment horizontal="left" vertical="top"/>
    </xf>
    <xf numFmtId="164" fontId="47" fillId="0" borderId="23" xfId="2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164" fontId="59" fillId="0" borderId="1" xfId="2" applyFont="1" applyBorder="1" applyAlignment="1">
      <alignment horizontal="center"/>
    </xf>
    <xf numFmtId="0" fontId="34" fillId="2" borderId="1" xfId="0" applyFont="1" applyFill="1" applyBorder="1"/>
    <xf numFmtId="4" fontId="60" fillId="0" borderId="1" xfId="2" applyNumberFormat="1" applyFont="1" applyBorder="1" applyAlignment="1">
      <alignment horizontal="center" vertical="center"/>
    </xf>
    <xf numFmtId="0" fontId="58" fillId="0" borderId="1" xfId="0" applyFont="1" applyBorder="1"/>
    <xf numFmtId="0" fontId="59" fillId="0" borderId="0" xfId="0" applyFont="1"/>
    <xf numFmtId="164" fontId="59" fillId="0" borderId="0" xfId="0" applyNumberFormat="1" applyFont="1"/>
    <xf numFmtId="4" fontId="60" fillId="2" borderId="1" xfId="2" applyNumberFormat="1" applyFont="1" applyFill="1" applyBorder="1" applyAlignment="1">
      <alignment horizontal="center" vertical="center"/>
    </xf>
    <xf numFmtId="0" fontId="58" fillId="2" borderId="1" xfId="0" applyFont="1" applyFill="1" applyBorder="1"/>
    <xf numFmtId="0" fontId="59" fillId="2" borderId="0" xfId="0" applyFont="1" applyFill="1"/>
    <xf numFmtId="164" fontId="59" fillId="2" borderId="0" xfId="0" applyNumberFormat="1" applyFont="1" applyFill="1"/>
    <xf numFmtId="43" fontId="34" fillId="11" borderId="1" xfId="0" applyNumberFormat="1" applyFont="1" applyFill="1" applyBorder="1"/>
    <xf numFmtId="0" fontId="40" fillId="2" borderId="1" xfId="0" applyFont="1" applyFill="1" applyBorder="1"/>
    <xf numFmtId="43" fontId="44" fillId="2" borderId="1" xfId="0" applyNumberFormat="1" applyFont="1" applyFill="1" applyBorder="1"/>
    <xf numFmtId="4" fontId="59" fillId="2" borderId="1" xfId="16" applyNumberFormat="1" applyFont="1" applyFill="1" applyBorder="1" applyAlignment="1">
      <alignment horizontal="right" vertical="top"/>
    </xf>
    <xf numFmtId="0" fontId="35" fillId="2" borderId="0" xfId="0" applyFont="1" applyFill="1" applyAlignment="1">
      <alignment horizontal="right"/>
    </xf>
    <xf numFmtId="164" fontId="37" fillId="2" borderId="1" xfId="0" applyNumberFormat="1" applyFont="1" applyFill="1" applyBorder="1"/>
    <xf numFmtId="164" fontId="34" fillId="2" borderId="0" xfId="0" applyNumberFormat="1" applyFont="1" applyFill="1"/>
    <xf numFmtId="0" fontId="30" fillId="7" borderId="0" xfId="0" applyFont="1" applyFill="1"/>
    <xf numFmtId="0" fontId="37" fillId="7" borderId="0" xfId="0" applyFont="1" applyFill="1"/>
    <xf numFmtId="0" fontId="31" fillId="7" borderId="0" xfId="0" applyFont="1" applyFill="1"/>
    <xf numFmtId="0" fontId="42" fillId="11" borderId="1" xfId="0" applyFont="1" applyFill="1" applyBorder="1" applyAlignment="1">
      <alignment horizontal="center" vertical="center"/>
    </xf>
    <xf numFmtId="164" fontId="30" fillId="0" borderId="0" xfId="2" applyFont="1" applyAlignment="1">
      <alignment horizontal="center"/>
    </xf>
    <xf numFmtId="164" fontId="35" fillId="9" borderId="1" xfId="2" applyFont="1" applyFill="1" applyBorder="1" applyAlignment="1">
      <alignment horizontal="center"/>
    </xf>
    <xf numFmtId="164" fontId="37" fillId="7" borderId="1" xfId="2" applyFont="1" applyFill="1" applyBorder="1" applyAlignment="1">
      <alignment horizontal="center" vertical="top"/>
    </xf>
    <xf numFmtId="164" fontId="35" fillId="8" borderId="1" xfId="2" applyFont="1" applyFill="1" applyBorder="1" applyAlignment="1">
      <alignment horizontal="center" vertical="top"/>
    </xf>
    <xf numFmtId="164" fontId="37" fillId="8" borderId="1" xfId="2" applyFont="1" applyFill="1" applyBorder="1" applyAlignment="1">
      <alignment horizontal="center" vertical="top"/>
    </xf>
    <xf numFmtId="164" fontId="35" fillId="7" borderId="1" xfId="2" applyFont="1" applyFill="1" applyBorder="1" applyAlignment="1">
      <alignment horizontal="center" vertical="top"/>
    </xf>
    <xf numFmtId="164" fontId="44" fillId="7" borderId="1" xfId="2" applyFont="1" applyFill="1" applyBorder="1" applyAlignment="1">
      <alignment horizontal="center" vertical="top"/>
    </xf>
    <xf numFmtId="164" fontId="44" fillId="2" borderId="1" xfId="2" applyFont="1" applyFill="1" applyBorder="1" applyAlignment="1">
      <alignment horizontal="center" vertical="top"/>
    </xf>
    <xf numFmtId="164" fontId="47" fillId="2" borderId="1" xfId="2" applyFont="1" applyFill="1" applyBorder="1" applyAlignment="1">
      <alignment horizontal="center" vertical="top"/>
    </xf>
    <xf numFmtId="164" fontId="44" fillId="11" borderId="1" xfId="2" applyFont="1" applyFill="1" applyBorder="1" applyAlignment="1">
      <alignment horizontal="center" vertical="top"/>
    </xf>
    <xf numFmtId="164" fontId="61" fillId="2" borderId="1" xfId="2" applyFont="1" applyFill="1" applyBorder="1" applyAlignment="1">
      <alignment horizontal="center" vertical="top"/>
    </xf>
    <xf numFmtId="164" fontId="42" fillId="2" borderId="1" xfId="2" applyFont="1" applyFill="1" applyBorder="1" applyAlignment="1">
      <alignment horizontal="center" vertical="top"/>
    </xf>
    <xf numFmtId="164" fontId="44" fillId="8" borderId="1" xfId="2" applyFont="1" applyFill="1" applyBorder="1" applyAlignment="1">
      <alignment horizontal="center" vertical="top"/>
    </xf>
    <xf numFmtId="164" fontId="37" fillId="11" borderId="1" xfId="2" applyFont="1" applyFill="1" applyBorder="1" applyAlignment="1">
      <alignment horizontal="center" vertical="top"/>
    </xf>
    <xf numFmtId="164" fontId="31" fillId="10" borderId="1" xfId="2" applyFont="1" applyFill="1" applyBorder="1" applyAlignment="1">
      <alignment horizontal="center"/>
    </xf>
    <xf numFmtId="164" fontId="31" fillId="2" borderId="0" xfId="2" applyFont="1" applyFill="1" applyAlignment="1">
      <alignment horizontal="center"/>
    </xf>
    <xf numFmtId="164" fontId="31" fillId="0" borderId="0" xfId="2" applyFont="1" applyAlignment="1">
      <alignment horizontal="center"/>
    </xf>
    <xf numFmtId="164" fontId="30" fillId="0" borderId="11" xfId="2" applyFont="1" applyBorder="1" applyAlignment="1">
      <alignment horizontal="center"/>
    </xf>
    <xf numFmtId="43" fontId="44" fillId="11" borderId="1" xfId="0" applyNumberFormat="1" applyFont="1" applyFill="1" applyBorder="1"/>
    <xf numFmtId="0" fontId="29" fillId="7" borderId="1" xfId="0" applyFont="1" applyFill="1" applyBorder="1" applyAlignment="1">
      <alignment horizontal="center" vertical="center"/>
    </xf>
    <xf numFmtId="164" fontId="48" fillId="11" borderId="1" xfId="2" applyFont="1" applyFill="1" applyBorder="1" applyAlignment="1">
      <alignment horizontal="right"/>
    </xf>
    <xf numFmtId="4" fontId="35" fillId="11" borderId="1" xfId="16" applyNumberFormat="1" applyFont="1" applyFill="1" applyBorder="1" applyAlignment="1">
      <alignment horizontal="right" vertical="top"/>
    </xf>
    <xf numFmtId="43" fontId="30" fillId="11" borderId="1" xfId="0" applyNumberFormat="1" applyFont="1" applyFill="1" applyBorder="1"/>
    <xf numFmtId="0" fontId="65" fillId="0" borderId="0" xfId="0" applyFont="1" applyAlignment="1">
      <alignment vertical="top"/>
    </xf>
    <xf numFmtId="0" fontId="65" fillId="0" borderId="0" xfId="0" applyFont="1" applyAlignment="1">
      <alignment horizontal="center" vertical="top"/>
    </xf>
    <xf numFmtId="164" fontId="64" fillId="0" borderId="0" xfId="2" applyFont="1" applyAlignment="1">
      <alignment horizontal="right" vertical="top"/>
    </xf>
    <xf numFmtId="0" fontId="64" fillId="0" borderId="0" xfId="14" applyFont="1" applyAlignment="1">
      <alignment horizontal="center" vertical="top"/>
    </xf>
    <xf numFmtId="164" fontId="64" fillId="0" borderId="0" xfId="2" applyFont="1" applyAlignment="1">
      <alignment vertical="top"/>
    </xf>
    <xf numFmtId="0" fontId="49" fillId="0" borderId="0" xfId="6" applyFont="1" applyAlignment="1">
      <alignment horizontal="center"/>
    </xf>
    <xf numFmtId="0" fontId="50" fillId="0" borderId="0" xfId="6" applyFont="1" applyAlignment="1">
      <alignment horizontal="center"/>
    </xf>
    <xf numFmtId="0" fontId="51" fillId="0" borderId="0" xfId="6" applyFont="1" applyAlignment="1">
      <alignment horizontal="center"/>
    </xf>
    <xf numFmtId="0" fontId="18" fillId="0" borderId="0" xfId="6" applyFont="1" applyAlignment="1">
      <alignment horizontal="center"/>
    </xf>
    <xf numFmtId="0" fontId="66" fillId="0" borderId="0" xfId="0" applyFont="1" applyAlignment="1">
      <alignment vertical="top"/>
    </xf>
    <xf numFmtId="0" fontId="67" fillId="0" borderId="0" xfId="0" applyFont="1" applyAlignment="1">
      <alignment vertical="top"/>
    </xf>
    <xf numFmtId="0" fontId="67" fillId="0" borderId="0" xfId="0" applyFont="1"/>
    <xf numFmtId="0" fontId="68" fillId="0" borderId="0" xfId="0" applyFont="1"/>
    <xf numFmtId="0" fontId="68" fillId="0" borderId="0" xfId="0" applyFont="1" applyAlignment="1">
      <alignment vertical="top"/>
    </xf>
    <xf numFmtId="0" fontId="68" fillId="0" borderId="0" xfId="0" applyFont="1" applyAlignment="1">
      <alignment horizontal="center" vertical="top"/>
    </xf>
    <xf numFmtId="0" fontId="63" fillId="0" borderId="0" xfId="0" applyFont="1"/>
    <xf numFmtId="0" fontId="17" fillId="0" borderId="2" xfId="0" applyFont="1" applyBorder="1" applyAlignment="1">
      <alignment horizontal="left"/>
    </xf>
    <xf numFmtId="0" fontId="16" fillId="0" borderId="2" xfId="0" applyFont="1" applyBorder="1"/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right"/>
    </xf>
    <xf numFmtId="0" fontId="63" fillId="0" borderId="0" xfId="0" applyFont="1" applyAlignment="1">
      <alignment horizontal="right"/>
    </xf>
    <xf numFmtId="0" fontId="16" fillId="0" borderId="3" xfId="0" applyFont="1" applyBorder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right"/>
    </xf>
    <xf numFmtId="0" fontId="16" fillId="0" borderId="0" xfId="0" applyFont="1"/>
    <xf numFmtId="0" fontId="63" fillId="0" borderId="0" xfId="0" applyFont="1" applyAlignment="1">
      <alignment horizontal="left"/>
    </xf>
    <xf numFmtId="0" fontId="17" fillId="0" borderId="4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16" fillId="0" borderId="6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28" xfId="0" quotePrefix="1" applyFont="1" applyBorder="1" applyAlignment="1">
      <alignment horizontal="center"/>
    </xf>
    <xf numFmtId="0" fontId="14" fillId="0" borderId="28" xfId="16" applyFont="1" applyBorder="1" applyAlignment="1">
      <alignment horizontal="left" vertical="top"/>
    </xf>
    <xf numFmtId="164" fontId="21" fillId="2" borderId="28" xfId="2" applyFont="1" applyFill="1" applyBorder="1" applyAlignment="1">
      <alignment horizontal="center"/>
    </xf>
    <xf numFmtId="166" fontId="16" fillId="0" borderId="28" xfId="2" applyNumberFormat="1" applyFont="1" applyBorder="1" applyAlignment="1">
      <alignment horizontal="center"/>
    </xf>
    <xf numFmtId="164" fontId="16" fillId="0" borderId="28" xfId="0" applyNumberFormat="1" applyFont="1" applyBorder="1"/>
    <xf numFmtId="165" fontId="16" fillId="0" borderId="28" xfId="2" applyNumberFormat="1" applyFont="1" applyBorder="1"/>
    <xf numFmtId="0" fontId="16" fillId="0" borderId="1" xfId="0" quotePrefix="1" applyFont="1" applyBorder="1" applyAlignment="1">
      <alignment horizontal="center"/>
    </xf>
    <xf numFmtId="0" fontId="14" fillId="0" borderId="1" xfId="16" applyFont="1" applyBorder="1" applyAlignment="1">
      <alignment horizontal="left" vertical="top"/>
    </xf>
    <xf numFmtId="164" fontId="21" fillId="2" borderId="1" xfId="2" applyFont="1" applyFill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164" fontId="16" fillId="0" borderId="1" xfId="0" applyNumberFormat="1" applyFont="1" applyBorder="1"/>
    <xf numFmtId="165" fontId="16" fillId="0" borderId="1" xfId="2" applyNumberFormat="1" applyFont="1" applyBorder="1"/>
    <xf numFmtId="164" fontId="63" fillId="0" borderId="0" xfId="0" applyNumberFormat="1" applyFont="1"/>
    <xf numFmtId="0" fontId="14" fillId="0" borderId="1" xfId="16" applyFont="1" applyBorder="1" applyAlignment="1">
      <alignment horizontal="left" vertical="top" wrapText="1"/>
    </xf>
    <xf numFmtId="0" fontId="16" fillId="0" borderId="1" xfId="0" quotePrefix="1" applyFont="1" applyBorder="1" applyAlignment="1">
      <alignment horizontal="center" vertical="top"/>
    </xf>
    <xf numFmtId="164" fontId="16" fillId="0" borderId="1" xfId="0" applyNumberFormat="1" applyFont="1" applyBorder="1" applyAlignment="1">
      <alignment vertical="top"/>
    </xf>
    <xf numFmtId="164" fontId="17" fillId="0" borderId="1" xfId="0" applyNumberFormat="1" applyFont="1" applyBorder="1"/>
    <xf numFmtId="166" fontId="17" fillId="0" borderId="1" xfId="2" applyNumberFormat="1" applyFont="1" applyBorder="1" applyAlignment="1">
      <alignment horizontal="center"/>
    </xf>
    <xf numFmtId="164" fontId="70" fillId="0" borderId="0" xfId="2" applyFont="1"/>
    <xf numFmtId="164" fontId="71" fillId="0" borderId="0" xfId="0" applyNumberFormat="1" applyFont="1"/>
    <xf numFmtId="4" fontId="17" fillId="0" borderId="1" xfId="0" applyNumberFormat="1" applyFont="1" applyBorder="1"/>
    <xf numFmtId="165" fontId="16" fillId="0" borderId="1" xfId="0" applyNumberFormat="1" applyFont="1" applyBorder="1"/>
    <xf numFmtId="0" fontId="16" fillId="0" borderId="1" xfId="0" applyFont="1" applyBorder="1"/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49" fontId="17" fillId="2" borderId="8" xfId="0" applyNumberFormat="1" applyFont="1" applyFill="1" applyBorder="1" applyAlignment="1">
      <alignment horizontal="center"/>
    </xf>
    <xf numFmtId="164" fontId="16" fillId="0" borderId="8" xfId="0" applyNumberFormat="1" applyFont="1" applyBorder="1"/>
    <xf numFmtId="0" fontId="63" fillId="0" borderId="1" xfId="0" applyFont="1" applyBorder="1"/>
    <xf numFmtId="164" fontId="17" fillId="0" borderId="9" xfId="2" applyFont="1" applyFill="1" applyBorder="1"/>
    <xf numFmtId="165" fontId="17" fillId="0" borderId="10" xfId="0" applyNumberFormat="1" applyFont="1" applyBorder="1"/>
    <xf numFmtId="164" fontId="69" fillId="0" borderId="0" xfId="2" applyFont="1" applyFill="1" applyBorder="1"/>
    <xf numFmtId="165" fontId="69" fillId="0" borderId="27" xfId="0" applyNumberFormat="1" applyFont="1" applyBorder="1"/>
    <xf numFmtId="0" fontId="16" fillId="0" borderId="0" xfId="0" applyFont="1" applyAlignment="1">
      <alignment horizontal="right"/>
    </xf>
    <xf numFmtId="43" fontId="16" fillId="0" borderId="0" xfId="0" applyNumberFormat="1" applyFont="1" applyAlignment="1">
      <alignment horizontal="center"/>
    </xf>
    <xf numFmtId="0" fontId="49" fillId="0" borderId="0" xfId="0" applyFont="1"/>
    <xf numFmtId="0" fontId="37" fillId="5" borderId="1" xfId="0" applyFont="1" applyFill="1" applyBorder="1" applyAlignment="1">
      <alignment horizontal="center" vertical="center"/>
    </xf>
    <xf numFmtId="0" fontId="37" fillId="5" borderId="1" xfId="16" applyFont="1" applyFill="1" applyBorder="1" applyAlignment="1">
      <alignment horizontal="left" vertical="top" wrapText="1"/>
    </xf>
    <xf numFmtId="164" fontId="37" fillId="5" borderId="1" xfId="2" applyFont="1" applyFill="1" applyBorder="1" applyAlignment="1">
      <alignment horizontal="center" vertical="top"/>
    </xf>
    <xf numFmtId="3" fontId="37" fillId="5" borderId="1" xfId="16" applyNumberFormat="1" applyFont="1" applyFill="1" applyBorder="1" applyAlignment="1">
      <alignment horizontal="center" vertical="top"/>
    </xf>
    <xf numFmtId="4" fontId="37" fillId="5" borderId="1" xfId="16" applyNumberFormat="1" applyFont="1" applyFill="1" applyBorder="1" applyAlignment="1">
      <alignment horizontal="right" vertical="top"/>
    </xf>
    <xf numFmtId="0" fontId="56" fillId="5" borderId="1" xfId="17" applyFont="1" applyFill="1" applyBorder="1"/>
    <xf numFmtId="164" fontId="34" fillId="0" borderId="0" xfId="2" applyFont="1"/>
    <xf numFmtId="0" fontId="34" fillId="0" borderId="0" xfId="0" applyFont="1"/>
    <xf numFmtId="43" fontId="34" fillId="0" borderId="0" xfId="0" applyNumberFormat="1" applyFont="1"/>
    <xf numFmtId="0" fontId="7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64" fontId="35" fillId="5" borderId="1" xfId="2" applyFont="1" applyFill="1" applyBorder="1" applyAlignment="1">
      <alignment horizontal="center"/>
    </xf>
    <xf numFmtId="164" fontId="63" fillId="0" borderId="0" xfId="2" applyFont="1"/>
    <xf numFmtId="43" fontId="63" fillId="0" borderId="0" xfId="0" applyNumberFormat="1" applyFont="1"/>
    <xf numFmtId="164" fontId="30" fillId="0" borderId="0" xfId="2" applyFont="1"/>
    <xf numFmtId="43" fontId="30" fillId="0" borderId="0" xfId="0" applyNumberFormat="1" applyFont="1"/>
    <xf numFmtId="164" fontId="31" fillId="0" borderId="0" xfId="2" applyFont="1"/>
    <xf numFmtId="43" fontId="31" fillId="0" borderId="0" xfId="0" applyNumberFormat="1" applyFont="1"/>
    <xf numFmtId="0" fontId="14" fillId="5" borderId="1" xfId="16" applyFont="1" applyFill="1" applyBorder="1" applyAlignment="1">
      <alignment horizontal="left" vertical="top"/>
    </xf>
    <xf numFmtId="0" fontId="14" fillId="5" borderId="1" xfId="16" applyFont="1" applyFill="1" applyBorder="1" applyAlignment="1">
      <alignment horizontal="left" vertical="top" wrapText="1"/>
    </xf>
    <xf numFmtId="164" fontId="21" fillId="5" borderId="1" xfId="2" applyFont="1" applyFill="1" applyBorder="1" applyAlignment="1">
      <alignment horizontal="center"/>
    </xf>
    <xf numFmtId="164" fontId="16" fillId="5" borderId="1" xfId="0" applyNumberFormat="1" applyFont="1" applyFill="1" applyBorder="1"/>
    <xf numFmtId="0" fontId="39" fillId="7" borderId="1" xfId="0" applyFont="1" applyFill="1" applyBorder="1"/>
    <xf numFmtId="0" fontId="73" fillId="0" borderId="0" xfId="0" applyFont="1"/>
    <xf numFmtId="0" fontId="74" fillId="2" borderId="0" xfId="0" applyFont="1" applyFill="1"/>
    <xf numFmtId="0" fontId="71" fillId="2" borderId="0" xfId="0" applyFont="1" applyFill="1"/>
    <xf numFmtId="43" fontId="74" fillId="2" borderId="0" xfId="0" applyNumberFormat="1" applyFont="1" applyFill="1"/>
    <xf numFmtId="0" fontId="29" fillId="0" borderId="0" xfId="0" applyFont="1" applyAlignment="1">
      <alignment horizontal="center"/>
    </xf>
    <xf numFmtId="4" fontId="37" fillId="0" borderId="1" xfId="0" applyNumberFormat="1" applyFont="1" applyBorder="1"/>
    <xf numFmtId="0" fontId="16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49" fillId="0" borderId="0" xfId="6" applyFont="1" applyAlignment="1">
      <alignment horizontal="center"/>
    </xf>
    <xf numFmtId="0" fontId="50" fillId="0" borderId="0" xfId="6" applyFont="1" applyAlignment="1">
      <alignment horizontal="center"/>
    </xf>
    <xf numFmtId="0" fontId="51" fillId="0" borderId="0" xfId="6" applyFont="1" applyAlignment="1">
      <alignment horizontal="center"/>
    </xf>
    <xf numFmtId="0" fontId="18" fillId="0" borderId="0" xfId="6" applyFont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0" fillId="0" borderId="1" xfId="16" applyFont="1" applyBorder="1" applyAlignment="1">
      <alignment horizontal="left" vertical="top"/>
    </xf>
    <xf numFmtId="164" fontId="40" fillId="0" borderId="1" xfId="2" applyFont="1" applyBorder="1" applyAlignment="1">
      <alignment horizontal="center"/>
    </xf>
    <xf numFmtId="3" fontId="40" fillId="0" borderId="1" xfId="16" applyNumberFormat="1" applyFont="1" applyBorder="1" applyAlignment="1">
      <alignment horizontal="center" vertical="top"/>
    </xf>
    <xf numFmtId="4" fontId="40" fillId="0" borderId="1" xfId="16" applyNumberFormat="1" applyFont="1" applyBorder="1" applyAlignment="1">
      <alignment horizontal="right" vertical="top"/>
    </xf>
    <xf numFmtId="164" fontId="75" fillId="0" borderId="0" xfId="2" applyFont="1"/>
    <xf numFmtId="0" fontId="76" fillId="0" borderId="0" xfId="0" applyFont="1" applyAlignment="1">
      <alignment horizontal="left"/>
    </xf>
    <xf numFmtId="0" fontId="35" fillId="0" borderId="28" xfId="0" applyFont="1" applyFill="1" applyBorder="1" applyAlignment="1">
      <alignment horizontal="center" vertical="center"/>
    </xf>
    <xf numFmtId="164" fontId="35" fillId="0" borderId="1" xfId="2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29" fillId="0" borderId="0" xfId="0" applyFont="1" applyFill="1"/>
    <xf numFmtId="0" fontId="36" fillId="0" borderId="0" xfId="0" applyFont="1" applyFill="1"/>
    <xf numFmtId="165" fontId="36" fillId="0" borderId="0" xfId="2" applyNumberFormat="1" applyFont="1" applyFill="1"/>
    <xf numFmtId="0" fontId="32" fillId="0" borderId="0" xfId="0" applyFont="1" applyFill="1"/>
    <xf numFmtId="4" fontId="37" fillId="0" borderId="1" xfId="16" applyNumberFormat="1" applyFont="1" applyFill="1" applyBorder="1" applyAlignment="1">
      <alignment horizontal="right" vertical="top"/>
    </xf>
    <xf numFmtId="0" fontId="37" fillId="0" borderId="1" xfId="0" applyFont="1" applyFill="1" applyBorder="1"/>
    <xf numFmtId="0" fontId="37" fillId="0" borderId="1" xfId="0" applyFont="1" applyFill="1" applyBorder="1" applyAlignment="1">
      <alignment horizontal="center" vertical="center"/>
    </xf>
    <xf numFmtId="0" fontId="37" fillId="0" borderId="1" xfId="16" applyFont="1" applyFill="1" applyBorder="1" applyAlignment="1">
      <alignment horizontal="left" vertical="top"/>
    </xf>
    <xf numFmtId="164" fontId="40" fillId="0" borderId="1" xfId="2" applyFont="1" applyBorder="1" applyAlignment="1">
      <alignment horizontal="center" vertical="top"/>
    </xf>
    <xf numFmtId="0" fontId="40" fillId="0" borderId="1" xfId="0" applyFont="1" applyBorder="1" applyAlignment="1">
      <alignment horizontal="center" vertical="top"/>
    </xf>
    <xf numFmtId="164" fontId="76" fillId="0" borderId="0" xfId="2" applyFont="1" applyAlignment="1"/>
    <xf numFmtId="0" fontId="37" fillId="0" borderId="0" xfId="0" applyFont="1" applyFill="1"/>
    <xf numFmtId="0" fontId="42" fillId="0" borderId="0" xfId="0" applyFont="1" applyFill="1"/>
    <xf numFmtId="164" fontId="77" fillId="0" borderId="0" xfId="2" applyFont="1" applyAlignment="1"/>
    <xf numFmtId="0" fontId="37" fillId="12" borderId="1" xfId="0" applyFont="1" applyFill="1" applyBorder="1" applyAlignment="1">
      <alignment horizontal="center" vertical="center"/>
    </xf>
    <xf numFmtId="0" fontId="37" fillId="12" borderId="1" xfId="16" applyFont="1" applyFill="1" applyBorder="1" applyAlignment="1">
      <alignment horizontal="left" vertical="top"/>
    </xf>
    <xf numFmtId="164" fontId="37" fillId="12" borderId="1" xfId="2" applyFont="1" applyFill="1" applyBorder="1" applyAlignment="1">
      <alignment horizontal="center"/>
    </xf>
    <xf numFmtId="3" fontId="37" fillId="12" borderId="1" xfId="16" applyNumberFormat="1" applyFont="1" applyFill="1" applyBorder="1" applyAlignment="1">
      <alignment horizontal="center" vertical="top"/>
    </xf>
    <xf numFmtId="4" fontId="37" fillId="12" borderId="1" xfId="16" applyNumberFormat="1" applyFont="1" applyFill="1" applyBorder="1" applyAlignment="1">
      <alignment horizontal="right" vertical="top"/>
    </xf>
    <xf numFmtId="0" fontId="37" fillId="12" borderId="1" xfId="0" applyFont="1" applyFill="1" applyBorder="1"/>
    <xf numFmtId="0" fontId="37" fillId="12" borderId="0" xfId="0" applyFont="1" applyFill="1"/>
    <xf numFmtId="0" fontId="42" fillId="12" borderId="0" xfId="0" applyFont="1" applyFill="1"/>
    <xf numFmtId="164" fontId="55" fillId="12" borderId="0" xfId="2" applyFont="1" applyFill="1"/>
    <xf numFmtId="0" fontId="77" fillId="12" borderId="0" xfId="0" applyFont="1" applyFill="1" applyAlignment="1">
      <alignment horizontal="left"/>
    </xf>
    <xf numFmtId="164" fontId="42" fillId="12" borderId="0" xfId="0" applyNumberFormat="1" applyFont="1" applyFill="1"/>
    <xf numFmtId="0" fontId="31" fillId="12" borderId="0" xfId="0" applyFont="1" applyFill="1"/>
    <xf numFmtId="0" fontId="16" fillId="2" borderId="1" xfId="0" quotePrefix="1" applyFont="1" applyFill="1" applyBorder="1" applyAlignment="1">
      <alignment horizontal="center"/>
    </xf>
    <xf numFmtId="0" fontId="14" fillId="2" borderId="1" xfId="16" applyFont="1" applyFill="1" applyBorder="1" applyAlignment="1">
      <alignment horizontal="left" vertical="top" wrapText="1"/>
    </xf>
    <xf numFmtId="164" fontId="16" fillId="2" borderId="1" xfId="0" applyNumberFormat="1" applyFont="1" applyFill="1" applyBorder="1"/>
    <xf numFmtId="166" fontId="16" fillId="2" borderId="1" xfId="2" applyNumberFormat="1" applyFont="1" applyFill="1" applyBorder="1" applyAlignment="1">
      <alignment horizontal="center"/>
    </xf>
    <xf numFmtId="165" fontId="16" fillId="2" borderId="1" xfId="2" applyNumberFormat="1" applyFont="1" applyFill="1" applyBorder="1"/>
    <xf numFmtId="0" fontId="63" fillId="2" borderId="0" xfId="0" applyFont="1" applyFill="1"/>
    <xf numFmtId="0" fontId="16" fillId="2" borderId="1" xfId="0" quotePrefix="1" applyFont="1" applyFill="1" applyBorder="1" applyAlignment="1">
      <alignment horizontal="center" vertical="top"/>
    </xf>
    <xf numFmtId="164" fontId="16" fillId="2" borderId="1" xfId="0" applyNumberFormat="1" applyFont="1" applyFill="1" applyBorder="1" applyAlignment="1">
      <alignment vertical="top"/>
    </xf>
    <xf numFmtId="0" fontId="14" fillId="2" borderId="1" xfId="16" applyFont="1" applyFill="1" applyBorder="1" applyAlignment="1">
      <alignment horizontal="left" vertical="top"/>
    </xf>
    <xf numFmtId="0" fontId="31" fillId="5" borderId="0" xfId="0" applyFont="1" applyFill="1"/>
    <xf numFmtId="0" fontId="37" fillId="2" borderId="1" xfId="16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center" vertical="top"/>
    </xf>
    <xf numFmtId="0" fontId="78" fillId="0" borderId="2" xfId="0" applyFont="1" applyBorder="1"/>
    <xf numFmtId="0" fontId="78" fillId="0" borderId="3" xfId="0" applyFont="1" applyBorder="1"/>
    <xf numFmtId="0" fontId="79" fillId="0" borderId="11" xfId="0" applyFont="1" applyBorder="1" applyAlignment="1">
      <alignment horizontal="right"/>
    </xf>
    <xf numFmtId="0" fontId="81" fillId="7" borderId="1" xfId="0" applyFont="1" applyFill="1" applyBorder="1"/>
    <xf numFmtId="0" fontId="80" fillId="8" borderId="1" xfId="0" applyFont="1" applyFill="1" applyBorder="1"/>
    <xf numFmtId="0" fontId="82" fillId="0" borderId="1" xfId="0" applyFont="1" applyBorder="1"/>
    <xf numFmtId="0" fontId="81" fillId="2" borderId="1" xfId="0" applyFont="1" applyFill="1" applyBorder="1"/>
    <xf numFmtId="0" fontId="81" fillId="8" borderId="1" xfId="0" applyFont="1" applyFill="1" applyBorder="1" applyAlignment="1">
      <alignment vertical="top"/>
    </xf>
    <xf numFmtId="0" fontId="81" fillId="0" borderId="1" xfId="0" applyFont="1" applyBorder="1"/>
    <xf numFmtId="0" fontId="81" fillId="8" borderId="1" xfId="0" applyFont="1" applyFill="1" applyBorder="1"/>
    <xf numFmtId="164" fontId="81" fillId="2" borderId="1" xfId="0" applyNumberFormat="1" applyFont="1" applyFill="1" applyBorder="1" applyAlignment="1"/>
    <xf numFmtId="164" fontId="81" fillId="2" borderId="1" xfId="0" applyNumberFormat="1" applyFont="1" applyFill="1" applyBorder="1"/>
    <xf numFmtId="0" fontId="83" fillId="7" borderId="1" xfId="0" applyFont="1" applyFill="1" applyBorder="1"/>
    <xf numFmtId="0" fontId="83" fillId="2" borderId="1" xfId="0" applyFont="1" applyFill="1" applyBorder="1"/>
    <xf numFmtId="0" fontId="84" fillId="2" borderId="1" xfId="0" applyFont="1" applyFill="1" applyBorder="1"/>
    <xf numFmtId="0" fontId="83" fillId="11" borderId="1" xfId="0" applyFont="1" applyFill="1" applyBorder="1"/>
    <xf numFmtId="43" fontId="83" fillId="2" borderId="1" xfId="0" applyNumberFormat="1" applyFont="1" applyFill="1" applyBorder="1"/>
    <xf numFmtId="43" fontId="85" fillId="11" borderId="1" xfId="0" applyNumberFormat="1" applyFont="1" applyFill="1" applyBorder="1"/>
    <xf numFmtId="0" fontId="83" fillId="0" borderId="1" xfId="0" applyFont="1" applyBorder="1"/>
    <xf numFmtId="0" fontId="86" fillId="0" borderId="1" xfId="0" applyFont="1" applyBorder="1"/>
    <xf numFmtId="0" fontId="85" fillId="0" borderId="1" xfId="0" applyFont="1" applyBorder="1"/>
    <xf numFmtId="0" fontId="83" fillId="0" borderId="23" xfId="0" applyFont="1" applyBorder="1"/>
    <xf numFmtId="0" fontId="83" fillId="0" borderId="44" xfId="0" applyFont="1" applyBorder="1"/>
    <xf numFmtId="0" fontId="83" fillId="0" borderId="28" xfId="0" applyFont="1" applyBorder="1"/>
    <xf numFmtId="43" fontId="83" fillId="11" borderId="1" xfId="0" applyNumberFormat="1" applyFont="1" applyFill="1" applyBorder="1"/>
    <xf numFmtId="0" fontId="84" fillId="11" borderId="1" xfId="0" applyFont="1" applyFill="1" applyBorder="1"/>
    <xf numFmtId="0" fontId="83" fillId="8" borderId="1" xfId="0" applyFont="1" applyFill="1" applyBorder="1"/>
    <xf numFmtId="0" fontId="78" fillId="7" borderId="1" xfId="0" applyFont="1" applyFill="1" applyBorder="1"/>
    <xf numFmtId="0" fontId="78" fillId="2" borderId="1" xfId="0" applyFont="1" applyFill="1" applyBorder="1"/>
    <xf numFmtId="0" fontId="78" fillId="11" borderId="1" xfId="0" applyFont="1" applyFill="1" applyBorder="1"/>
    <xf numFmtId="43" fontId="78" fillId="2" borderId="1" xfId="0" applyNumberFormat="1" applyFont="1" applyFill="1" applyBorder="1"/>
    <xf numFmtId="43" fontId="78" fillId="11" borderId="1" xfId="0" applyNumberFormat="1" applyFont="1" applyFill="1" applyBorder="1"/>
    <xf numFmtId="0" fontId="79" fillId="8" borderId="1" xfId="0" applyFont="1" applyFill="1" applyBorder="1"/>
    <xf numFmtId="0" fontId="87" fillId="10" borderId="1" xfId="0" applyFont="1" applyFill="1" applyBorder="1"/>
    <xf numFmtId="0" fontId="87" fillId="2" borderId="0" xfId="0" applyFont="1" applyFill="1"/>
    <xf numFmtId="0" fontId="87" fillId="0" borderId="0" xfId="0" applyFont="1"/>
    <xf numFmtId="4" fontId="42" fillId="2" borderId="23" xfId="16" applyNumberFormat="1" applyFont="1" applyFill="1" applyBorder="1" applyAlignment="1">
      <alignment horizontal="right" vertical="top"/>
    </xf>
    <xf numFmtId="164" fontId="42" fillId="2" borderId="23" xfId="2" applyFont="1" applyFill="1" applyBorder="1" applyAlignment="1">
      <alignment horizontal="center"/>
    </xf>
    <xf numFmtId="164" fontId="37" fillId="0" borderId="1" xfId="2" applyFont="1" applyFill="1" applyBorder="1" applyAlignment="1">
      <alignment vertical="top"/>
    </xf>
    <xf numFmtId="43" fontId="37" fillId="0" borderId="1" xfId="2" applyNumberFormat="1" applyFont="1" applyFill="1" applyBorder="1" applyAlignment="1">
      <alignment horizontal="center" vertical="top"/>
    </xf>
    <xf numFmtId="0" fontId="81" fillId="2" borderId="1" xfId="0" applyFont="1" applyFill="1" applyBorder="1" applyAlignment="1">
      <alignment horizontal="left"/>
    </xf>
    <xf numFmtId="0" fontId="81" fillId="0" borderId="1" xfId="0" applyFont="1" applyBorder="1" applyAlignment="1">
      <alignment horizontal="left"/>
    </xf>
    <xf numFmtId="0" fontId="81" fillId="0" borderId="1" xfId="0" applyFont="1" applyFill="1" applyBorder="1" applyAlignment="1">
      <alignment horizontal="left" vertical="top"/>
    </xf>
    <xf numFmtId="0" fontId="81" fillId="0" borderId="1" xfId="0" applyFont="1" applyBorder="1" applyAlignment="1">
      <alignment horizontal="left" vertical="top"/>
    </xf>
    <xf numFmtId="0" fontId="81" fillId="2" borderId="1" xfId="0" applyFont="1" applyFill="1" applyBorder="1" applyAlignment="1">
      <alignment horizontal="left" vertical="top"/>
    </xf>
    <xf numFmtId="43" fontId="81" fillId="0" borderId="1" xfId="0" applyNumberFormat="1" applyFont="1" applyBorder="1" applyAlignment="1">
      <alignment horizontal="left" vertical="top"/>
    </xf>
    <xf numFmtId="164" fontId="81" fillId="2" borderId="1" xfId="0" applyNumberFormat="1" applyFont="1" applyFill="1" applyBorder="1" applyAlignment="1">
      <alignment horizontal="left"/>
    </xf>
    <xf numFmtId="43" fontId="81" fillId="2" borderId="1" xfId="0" applyNumberFormat="1" applyFont="1" applyFill="1" applyBorder="1" applyAlignment="1">
      <alignment horizontal="left"/>
    </xf>
    <xf numFmtId="43" fontId="81" fillId="0" borderId="1" xfId="0" applyNumberFormat="1" applyFont="1" applyBorder="1"/>
    <xf numFmtId="0" fontId="71" fillId="0" borderId="0" xfId="0" applyFont="1"/>
    <xf numFmtId="0" fontId="71" fillId="0" borderId="0" xfId="0" applyFont="1" applyAlignment="1">
      <alignment horizontal="right"/>
    </xf>
    <xf numFmtId="0" fontId="71" fillId="0" borderId="0" xfId="0" applyFont="1" applyAlignment="1">
      <alignment horizontal="left"/>
    </xf>
    <xf numFmtId="164" fontId="71" fillId="0" borderId="0" xfId="2" applyFont="1"/>
    <xf numFmtId="43" fontId="71" fillId="0" borderId="0" xfId="0" applyNumberFormat="1" applyFont="1"/>
    <xf numFmtId="164" fontId="73" fillId="0" borderId="0" xfId="2" applyFont="1"/>
    <xf numFmtId="0" fontId="88" fillId="0" borderId="0" xfId="0" applyFont="1" applyAlignment="1">
      <alignment horizontal="center"/>
    </xf>
    <xf numFmtId="43" fontId="73" fillId="0" borderId="0" xfId="0" applyNumberFormat="1" applyFont="1"/>
    <xf numFmtId="0" fontId="73" fillId="0" borderId="0" xfId="0" applyFont="1" applyAlignment="1">
      <alignment horizontal="center"/>
    </xf>
    <xf numFmtId="0" fontId="89" fillId="0" borderId="0" xfId="6" applyFont="1"/>
    <xf numFmtId="0" fontId="89" fillId="0" borderId="0" xfId="6" applyFont="1" applyAlignment="1">
      <alignment horizontal="center"/>
    </xf>
    <xf numFmtId="0" fontId="71" fillId="0" borderId="0" xfId="6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4" fillId="2" borderId="0" xfId="0" applyFont="1" applyFill="1"/>
    <xf numFmtId="0" fontId="54" fillId="0" borderId="0" xfId="0" applyFont="1"/>
    <xf numFmtId="0" fontId="74" fillId="0" borderId="0" xfId="0" applyFont="1"/>
    <xf numFmtId="0" fontId="54" fillId="2" borderId="0" xfId="0" applyFont="1" applyFill="1" applyAlignment="1">
      <alignment horizontal="left"/>
    </xf>
    <xf numFmtId="0" fontId="54" fillId="0" borderId="0" xfId="0" applyFont="1" applyAlignment="1">
      <alignment horizontal="left"/>
    </xf>
    <xf numFmtId="164" fontId="73" fillId="0" borderId="0" xfId="0" applyNumberFormat="1" applyFont="1"/>
    <xf numFmtId="0" fontId="54" fillId="2" borderId="0" xfId="0" applyFont="1" applyFill="1" applyAlignment="1">
      <alignment horizontal="center"/>
    </xf>
    <xf numFmtId="164" fontId="73" fillId="6" borderId="0" xfId="2" applyFont="1" applyFill="1" applyAlignment="1"/>
    <xf numFmtId="43" fontId="73" fillId="5" borderId="0" xfId="0" applyNumberFormat="1" applyFont="1" applyFill="1"/>
    <xf numFmtId="0" fontId="90" fillId="2" borderId="0" xfId="0" applyFont="1" applyFill="1" applyAlignment="1">
      <alignment horizontal="center"/>
    </xf>
    <xf numFmtId="0" fontId="90" fillId="0" borderId="0" xfId="0" applyFont="1"/>
    <xf numFmtId="0" fontId="90" fillId="2" borderId="0" xfId="0" applyFont="1" applyFill="1"/>
    <xf numFmtId="0" fontId="91" fillId="0" borderId="0" xfId="0" applyFont="1"/>
    <xf numFmtId="165" fontId="91" fillId="0" borderId="0" xfId="2" applyNumberFormat="1" applyFont="1"/>
    <xf numFmtId="0" fontId="54" fillId="2" borderId="0" xfId="0" applyFont="1" applyFill="1" applyAlignment="1">
      <alignment vertical="top"/>
    </xf>
    <xf numFmtId="0" fontId="74" fillId="5" borderId="0" xfId="0" applyFont="1" applyFill="1" applyAlignment="1">
      <alignment vertical="top"/>
    </xf>
    <xf numFmtId="164" fontId="90" fillId="5" borderId="0" xfId="2" applyFont="1" applyFill="1" applyAlignment="1">
      <alignment vertical="top"/>
    </xf>
    <xf numFmtId="0" fontId="54" fillId="5" borderId="0" xfId="0" applyFont="1" applyFill="1" applyAlignment="1">
      <alignment vertical="top"/>
    </xf>
    <xf numFmtId="0" fontId="74" fillId="0" borderId="0" xfId="0" applyFont="1" applyAlignment="1">
      <alignment vertical="top"/>
    </xf>
    <xf numFmtId="164" fontId="90" fillId="0" borderId="0" xfId="2" applyFont="1" applyFill="1" applyAlignment="1">
      <alignment vertical="top"/>
    </xf>
    <xf numFmtId="0" fontId="54" fillId="0" borderId="0" xfId="0" applyFont="1" applyAlignment="1">
      <alignment vertical="top"/>
    </xf>
    <xf numFmtId="164" fontId="90" fillId="0" borderId="0" xfId="2" applyFont="1" applyFill="1"/>
    <xf numFmtId="164" fontId="91" fillId="0" borderId="0" xfId="2" applyFont="1" applyAlignment="1"/>
    <xf numFmtId="0" fontId="91" fillId="0" borderId="0" xfId="0" applyFont="1" applyAlignment="1">
      <alignment horizontal="left"/>
    </xf>
    <xf numFmtId="0" fontId="73" fillId="4" borderId="0" xfId="0" applyFont="1" applyFill="1"/>
    <xf numFmtId="0" fontId="54" fillId="0" borderId="0" xfId="0" applyFont="1" applyFill="1"/>
    <xf numFmtId="0" fontId="74" fillId="0" borderId="0" xfId="0" applyFont="1" applyFill="1"/>
    <xf numFmtId="164" fontId="90" fillId="0" borderId="0" xfId="2" applyFont="1"/>
    <xf numFmtId="164" fontId="90" fillId="2" borderId="0" xfId="2" applyFont="1" applyFill="1"/>
    <xf numFmtId="164" fontId="92" fillId="0" borderId="0" xfId="2" applyFont="1"/>
    <xf numFmtId="164" fontId="74" fillId="0" borderId="0" xfId="0" applyNumberFormat="1" applyFont="1"/>
    <xf numFmtId="0" fontId="74" fillId="12" borderId="0" xfId="0" applyFont="1" applyFill="1"/>
    <xf numFmtId="164" fontId="92" fillId="12" borderId="0" xfId="2" applyFont="1" applyFill="1"/>
    <xf numFmtId="0" fontId="54" fillId="12" borderId="0" xfId="0" applyFont="1" applyFill="1"/>
    <xf numFmtId="0" fontId="91" fillId="12" borderId="0" xfId="0" applyFont="1" applyFill="1" applyAlignment="1">
      <alignment horizontal="left"/>
    </xf>
    <xf numFmtId="164" fontId="54" fillId="0" borderId="0" xfId="2" applyFont="1"/>
    <xf numFmtId="164" fontId="74" fillId="0" borderId="0" xfId="2" applyFont="1"/>
    <xf numFmtId="43" fontId="54" fillId="0" borderId="0" xfId="0" applyNumberFormat="1" applyFont="1"/>
    <xf numFmtId="43" fontId="74" fillId="0" borderId="0" xfId="0" applyNumberFormat="1" applyFont="1"/>
    <xf numFmtId="0" fontId="54" fillId="0" borderId="1" xfId="0" applyFont="1" applyBorder="1"/>
    <xf numFmtId="0" fontId="93" fillId="2" borderId="0" xfId="17" applyFont="1" applyFill="1"/>
    <xf numFmtId="0" fontId="54" fillId="3" borderId="0" xfId="0" applyFont="1" applyFill="1"/>
    <xf numFmtId="0" fontId="74" fillId="3" borderId="0" xfId="0" applyFont="1" applyFill="1"/>
    <xf numFmtId="0" fontId="90" fillId="4" borderId="0" xfId="0" applyFont="1" applyFill="1"/>
    <xf numFmtId="0" fontId="54" fillId="7" borderId="0" xfId="0" applyFont="1" applyFill="1"/>
    <xf numFmtId="0" fontId="74" fillId="7" borderId="0" xfId="0" applyFont="1" applyFill="1"/>
    <xf numFmtId="0" fontId="90" fillId="2" borderId="0" xfId="0" applyFont="1" applyFill="1" applyAlignment="1">
      <alignment horizontal="right"/>
    </xf>
    <xf numFmtId="0" fontId="74" fillId="5" borderId="0" xfId="0" applyFont="1" applyFill="1"/>
    <xf numFmtId="164" fontId="74" fillId="2" borderId="0" xfId="0" applyNumberFormat="1" applyFont="1" applyFill="1"/>
    <xf numFmtId="0" fontId="73" fillId="0" borderId="1" xfId="0" applyFont="1" applyBorder="1"/>
    <xf numFmtId="164" fontId="73" fillId="0" borderId="1" xfId="0" applyNumberFormat="1" applyFont="1" applyBorder="1"/>
    <xf numFmtId="164" fontId="73" fillId="2" borderId="0" xfId="0" applyNumberFormat="1" applyFont="1" applyFill="1"/>
    <xf numFmtId="0" fontId="29" fillId="0" borderId="3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35" fillId="9" borderId="23" xfId="0" applyFont="1" applyFill="1" applyBorder="1" applyAlignment="1">
      <alignment horizontal="center" vertical="center"/>
    </xf>
    <xf numFmtId="0" fontId="35" fillId="9" borderId="28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5" fillId="9" borderId="24" xfId="0" applyFont="1" applyFill="1" applyBorder="1" applyAlignment="1">
      <alignment horizontal="center"/>
    </xf>
    <xf numFmtId="0" fontId="35" fillId="9" borderId="29" xfId="0" applyFont="1" applyFill="1" applyBorder="1" applyAlignment="1">
      <alignment horizontal="center"/>
    </xf>
    <xf numFmtId="0" fontId="29" fillId="0" borderId="2" xfId="0" applyFont="1" applyBorder="1" applyAlignment="1">
      <alignment horizontal="left"/>
    </xf>
    <xf numFmtId="0" fontId="80" fillId="9" borderId="23" xfId="0" applyFont="1" applyFill="1" applyBorder="1" applyAlignment="1">
      <alignment horizontal="center" vertical="center"/>
    </xf>
    <xf numFmtId="0" fontId="80" fillId="9" borderId="28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41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89" fillId="0" borderId="0" xfId="6" applyFont="1" applyAlignment="1">
      <alignment horizontal="center"/>
    </xf>
    <xf numFmtId="0" fontId="71" fillId="0" borderId="0" xfId="6" applyFont="1" applyAlignment="1">
      <alignment horizontal="center"/>
    </xf>
    <xf numFmtId="0" fontId="18" fillId="0" borderId="0" xfId="6" applyFont="1" applyAlignment="1">
      <alignment horizontal="center"/>
    </xf>
    <xf numFmtId="0" fontId="49" fillId="0" borderId="0" xfId="6" applyFont="1" applyAlignment="1">
      <alignment horizontal="center"/>
    </xf>
    <xf numFmtId="0" fontId="50" fillId="0" borderId="0" xfId="6" applyFont="1" applyAlignment="1">
      <alignment horizontal="center"/>
    </xf>
    <xf numFmtId="0" fontId="51" fillId="0" borderId="0" xfId="6" applyFont="1" applyAlignment="1">
      <alignment horizontal="center"/>
    </xf>
    <xf numFmtId="164" fontId="21" fillId="0" borderId="4" xfId="10" applyFont="1" applyBorder="1" applyAlignment="1">
      <alignment horizontal="center" vertical="center"/>
    </xf>
    <xf numFmtId="164" fontId="21" fillId="0" borderId="5" xfId="10" applyFont="1" applyBorder="1" applyAlignment="1">
      <alignment horizontal="center" vertical="center"/>
    </xf>
    <xf numFmtId="0" fontId="21" fillId="0" borderId="4" xfId="13" applyFont="1" applyBorder="1" applyAlignment="1">
      <alignment horizontal="center" vertical="center"/>
    </xf>
    <xf numFmtId="0" fontId="21" fillId="0" borderId="30" xfId="13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6" xfId="13" applyFont="1" applyBorder="1" applyAlignment="1">
      <alignment horizontal="left" vertical="center"/>
    </xf>
    <xf numFmtId="0" fontId="20" fillId="0" borderId="0" xfId="13" applyFont="1" applyAlignment="1">
      <alignment horizontal="left" vertical="center"/>
    </xf>
    <xf numFmtId="0" fontId="27" fillId="0" borderId="0" xfId="6" applyFont="1" applyAlignment="1">
      <alignment horizontal="center"/>
    </xf>
    <xf numFmtId="0" fontId="21" fillId="0" borderId="5" xfId="13" applyFont="1" applyBorder="1" applyAlignment="1">
      <alignment horizontal="center" vertical="center"/>
    </xf>
    <xf numFmtId="0" fontId="21" fillId="0" borderId="39" xfId="13" applyFont="1" applyBorder="1" applyAlignment="1">
      <alignment horizontal="center" vertical="center"/>
    </xf>
    <xf numFmtId="0" fontId="21" fillId="0" borderId="40" xfId="13" applyFont="1" applyBorder="1" applyAlignment="1">
      <alignment horizontal="center" vertical="center"/>
    </xf>
    <xf numFmtId="0" fontId="21" fillId="0" borderId="20" xfId="13" applyFont="1" applyBorder="1" applyAlignment="1">
      <alignment horizontal="center" vertical="center"/>
    </xf>
    <xf numFmtId="0" fontId="21" fillId="0" borderId="22" xfId="13" applyFont="1" applyBorder="1" applyAlignment="1">
      <alignment horizontal="center" vertical="center"/>
    </xf>
    <xf numFmtId="0" fontId="18" fillId="0" borderId="0" xfId="13" applyFont="1" applyAlignment="1">
      <alignment horizontal="right" vertical="center"/>
    </xf>
    <xf numFmtId="0" fontId="22" fillId="0" borderId="0" xfId="13" applyFont="1" applyAlignment="1">
      <alignment horizontal="center" vertical="center"/>
    </xf>
    <xf numFmtId="0" fontId="20" fillId="0" borderId="0" xfId="13" applyFont="1" applyAlignment="1">
      <alignment horizontal="right" vertical="center"/>
    </xf>
    <xf numFmtId="0" fontId="20" fillId="0" borderId="31" xfId="13" applyFont="1" applyBorder="1" applyAlignment="1">
      <alignment horizontal="center" vertical="center" wrapText="1"/>
    </xf>
    <xf numFmtId="0" fontId="20" fillId="0" borderId="32" xfId="13" applyFont="1" applyBorder="1" applyAlignment="1">
      <alignment horizontal="center" vertical="center" wrapText="1"/>
    </xf>
    <xf numFmtId="0" fontId="20" fillId="0" borderId="33" xfId="13" applyFont="1" applyBorder="1" applyAlignment="1">
      <alignment horizontal="center" vertical="center" wrapText="1"/>
    </xf>
    <xf numFmtId="0" fontId="21" fillId="0" borderId="3" xfId="13" applyFont="1" applyBorder="1"/>
    <xf numFmtId="164" fontId="21" fillId="0" borderId="34" xfId="10" applyFont="1" applyBorder="1" applyAlignment="1">
      <alignment horizontal="center"/>
    </xf>
    <xf numFmtId="164" fontId="21" fillId="0" borderId="35" xfId="10" applyFont="1" applyBorder="1" applyAlignment="1">
      <alignment horizontal="center"/>
    </xf>
    <xf numFmtId="0" fontId="21" fillId="0" borderId="34" xfId="13" applyFont="1" applyBorder="1" applyAlignment="1">
      <alignment horizontal="center" vertical="center"/>
    </xf>
    <xf numFmtId="0" fontId="21" fillId="0" borderId="36" xfId="13" applyFont="1" applyBorder="1" applyAlignment="1">
      <alignment horizontal="center" vertical="center"/>
    </xf>
    <xf numFmtId="0" fontId="20" fillId="0" borderId="37" xfId="13" applyFont="1" applyBorder="1" applyAlignment="1">
      <alignment horizontal="center" vertical="center"/>
    </xf>
    <xf numFmtId="0" fontId="20" fillId="0" borderId="38" xfId="13" applyFont="1" applyBorder="1" applyAlignment="1">
      <alignment horizontal="center" vertical="center"/>
    </xf>
    <xf numFmtId="0" fontId="20" fillId="0" borderId="17" xfId="13" applyFont="1" applyBorder="1" applyAlignment="1">
      <alignment horizontal="center" vertical="center"/>
    </xf>
    <xf numFmtId="164" fontId="20" fillId="0" borderId="34" xfId="13" applyNumberFormat="1" applyFont="1" applyBorder="1" applyAlignment="1">
      <alignment horizontal="center" vertical="center"/>
    </xf>
    <xf numFmtId="0" fontId="20" fillId="0" borderId="35" xfId="13" applyFont="1" applyBorder="1" applyAlignment="1">
      <alignment horizontal="center" vertical="center"/>
    </xf>
    <xf numFmtId="164" fontId="21" fillId="0" borderId="31" xfId="13" applyNumberFormat="1" applyFont="1" applyBorder="1" applyAlignment="1">
      <alignment horizontal="center" vertical="center"/>
    </xf>
    <xf numFmtId="0" fontId="21" fillId="0" borderId="32" xfId="13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20" xfId="0" applyFont="1" applyBorder="1" applyAlignment="1">
      <alignment horizontal="right"/>
    </xf>
    <xf numFmtId="0" fontId="10" fillId="0" borderId="2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165" fontId="10" fillId="0" borderId="18" xfId="2" applyNumberFormat="1" applyFont="1" applyBorder="1" applyAlignment="1">
      <alignment horizontal="center" vertical="top"/>
    </xf>
    <xf numFmtId="165" fontId="10" fillId="0" borderId="28" xfId="2" applyNumberFormat="1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18">
    <cellStyle name="0,0_x000d__x000a_NA_x000d__x000a_" xfId="1"/>
    <cellStyle name="Comma" xfId="2" builtinId="3"/>
    <cellStyle name="Comma 2" xfId="3"/>
    <cellStyle name="Comma 3" xfId="4"/>
    <cellStyle name="Hyperlink" xfId="17" builtinId="8"/>
    <cellStyle name="Hyperlink 2" xfId="5"/>
    <cellStyle name="Normal" xfId="0" builtinId="0"/>
    <cellStyle name="Normal 2" xfId="6"/>
    <cellStyle name="Normal 3" xfId="7"/>
    <cellStyle name="Percent 2" xfId="8"/>
    <cellStyle name="Percent 3" xfId="9"/>
    <cellStyle name="เครื่องหมายจุลภาค 2" xfId="10"/>
    <cellStyle name="เครื่องหมายจุลภาค 3" xfId="11"/>
    <cellStyle name="เครื่องหมายจุลภาค 4" xfId="12"/>
    <cellStyle name="ปกติ 2" xfId="13"/>
    <cellStyle name="ปกติ 3" xfId="14"/>
    <cellStyle name="ปกติ 4" xfId="15"/>
    <cellStyle name="ปกติ_BOQ_เชฟโรเลต อุดร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28</xdr:row>
      <xdr:rowOff>85725</xdr:rowOff>
    </xdr:from>
    <xdr:ext cx="3692671" cy="17799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42950" y="8105775"/>
          <a:ext cx="3692671" cy="17799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500">
              <a:solidFill>
                <a:schemeClr val="bg1"/>
              </a:solidFill>
              <a:latin typeface="TH SarabunPSK" pitchFamily="34" charset="-34"/>
              <a:cs typeface="TH SarabunPSK" pitchFamily="34" charset="-34"/>
            </a:rPr>
            <a:t>เห็นชอบ</a:t>
          </a:r>
        </a:p>
        <a:p>
          <a:pPr algn="ctr"/>
          <a:endParaRPr lang="th-TH" sz="1500">
            <a:solidFill>
              <a:schemeClr val="bg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lvl="1" algn="ctr"/>
          <a:r>
            <a:rPr lang="th-TH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...................................................</a:t>
          </a:r>
        </a:p>
        <a:p>
          <a:pPr lvl="1" algn="ctr"/>
          <a:r>
            <a:rPr lang="th-TH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(ผู้ช่วยศาสตราจารย์ประพันธ์    ยาวระ )</a:t>
          </a:r>
        </a:p>
        <a:p>
          <a:pPr lvl="1" algn="ctr"/>
          <a:r>
            <a:rPr lang="th-TH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รองอธิการบดีประจำวิทยาเขตขอนแก่น ปฏิบัติราชการแทน</a:t>
          </a:r>
          <a:endParaRPr lang="en-US" sz="1500">
            <a:solidFill>
              <a:schemeClr val="bg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algn="ctr"/>
          <a:r>
            <a:rPr lang="th-TH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อธิการบดีมหาวิทยาลัยเทคโนโลยีราชมงคลอีสาน</a:t>
          </a:r>
          <a:endParaRPr lang="th-TH" sz="1500">
            <a:solidFill>
              <a:schemeClr val="bg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</xdr:col>
      <xdr:colOff>114300</xdr:colOff>
      <xdr:row>22</xdr:row>
      <xdr:rowOff>180975</xdr:rowOff>
    </xdr:from>
    <xdr:ext cx="4114799" cy="210651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38200" y="6400800"/>
          <a:ext cx="4114799" cy="2106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50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ลงชื่อ...................................................</a:t>
          </a:r>
          <a:r>
            <a:rPr lang="th-TH" sz="1500">
              <a:solidFill>
                <a:schemeClr val="bg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ประธานกรรมการกำหนดราคากลาง</a:t>
          </a:r>
          <a:endParaRPr lang="th-TH" sz="1500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>
            <a:lnSpc>
              <a:spcPts val="1500"/>
            </a:lnSpc>
          </a:pPr>
          <a:r>
            <a:rPr lang="th-TH" sz="150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500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50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5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ผู้ช่วยศาสตราจารย์ ดร</a:t>
          </a:r>
          <a:r>
            <a:rPr lang="en-US" sz="15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5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วรรธนะ</a:t>
          </a:r>
          <a:r>
            <a:rPr lang="th-TH" sz="15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th-TH" sz="15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ประภาภรณ์</a:t>
          </a:r>
          <a:r>
            <a:rPr lang="th-TH" sz="150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en-US" sz="1500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>
            <a:lnSpc>
              <a:spcPts val="1500"/>
            </a:lnSpc>
          </a:pPr>
          <a:endParaRPr lang="th-TH" sz="1500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eaLnBrk="1" fontAlgn="auto" latinLnBrk="0" hangingPunct="1">
            <a:lnSpc>
              <a:spcPts val="1500"/>
            </a:lnSpc>
          </a:pPr>
          <a:r>
            <a:rPr lang="th-TH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ลงชื่อ...................................................กรรมการกำหนดราคากลาง</a:t>
          </a:r>
        </a:p>
        <a:p>
          <a:pPr>
            <a:lnSpc>
              <a:spcPts val="1500"/>
            </a:lnSpc>
          </a:pPr>
          <a:r>
            <a:rPr lang="th-TH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   </a:t>
          </a:r>
          <a:r>
            <a:rPr lang="en-US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 </a:t>
          </a:r>
          <a:r>
            <a:rPr lang="th-TH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      (</a:t>
          </a:r>
          <a:r>
            <a:rPr lang="th-TH" sz="15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อาจารย์จิระยุทธ</a:t>
          </a:r>
          <a:r>
            <a:rPr lang="th-TH" sz="15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th-TH" sz="15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เนื่องรินทร์</a:t>
          </a:r>
          <a:r>
            <a:rPr lang="th-TH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)</a:t>
          </a:r>
        </a:p>
        <a:p>
          <a:pPr>
            <a:lnSpc>
              <a:spcPts val="1600"/>
            </a:lnSpc>
          </a:pPr>
          <a:endParaRPr lang="th-TH" sz="1500">
            <a:solidFill>
              <a:schemeClr val="bg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eaLnBrk="1" fontAlgn="auto" latinLnBrk="0" hangingPunct="1">
            <a:lnSpc>
              <a:spcPts val="1500"/>
            </a:lnSpc>
          </a:pPr>
          <a:r>
            <a:rPr lang="th-TH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ลงชื่อ...................................................กรรมการกำหนดราคากลาง</a:t>
          </a:r>
          <a:endParaRPr lang="th-TH" sz="1500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600"/>
            </a:lnSpc>
          </a:pPr>
          <a:r>
            <a:rPr lang="th-TH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(</a:t>
          </a:r>
          <a:r>
            <a:rPr lang="th-TH" sz="15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นางสาวพัชรี </a:t>
          </a:r>
          <a:r>
            <a:rPr lang="th-TH" sz="15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5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สงคราม</a:t>
          </a:r>
          <a:r>
            <a:rPr lang="th-TH" sz="150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)</a:t>
          </a:r>
          <a:endParaRPr lang="th-TH" sz="1500">
            <a:solidFill>
              <a:schemeClr val="bg1"/>
            </a:solidFill>
            <a:latin typeface="TH SarabunPSK" pitchFamily="34" charset="-34"/>
            <a:cs typeface="TH SarabunPSK" pitchFamily="34" charset="-34"/>
          </a:endParaRPr>
        </a:p>
        <a:p>
          <a:pPr>
            <a:lnSpc>
              <a:spcPts val="1400"/>
            </a:lnSpc>
          </a:pPr>
          <a:endParaRPr lang="th-TH" sz="1400">
            <a:solidFill>
              <a:schemeClr val="bg1"/>
            </a:solidFill>
          </a:endParaRPr>
        </a:p>
        <a:p>
          <a:pPr algn="l">
            <a:lnSpc>
              <a:spcPts val="1600"/>
            </a:lnSpc>
          </a:pPr>
          <a:endParaRPr lang="th-TH" sz="1400">
            <a:solidFill>
              <a:schemeClr val="bg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bstore.bb.go.th/cms/1646297300_8269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bstore.bb.go.th/cms/1646297300_8269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bstore.bb.go.th/cms/1646297300_8269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bstore.bb.go.th/cms/1646297300_8269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77"/>
  <sheetViews>
    <sheetView topLeftCell="A22" zoomScale="60" zoomScaleNormal="60" zoomScalePageLayoutView="110" workbookViewId="0">
      <pane xSplit="1" topLeftCell="B1" activePane="topRight" state="frozen"/>
      <selection activeCell="A22" sqref="A22"/>
      <selection pane="topRight" activeCell="D43" sqref="D43"/>
    </sheetView>
  </sheetViews>
  <sheetFormatPr defaultColWidth="9.140625" defaultRowHeight="30.75" x14ac:dyDescent="0.7"/>
  <cols>
    <col min="1" max="1" width="12.85546875" style="235" customWidth="1"/>
    <col min="2" max="2" width="108.42578125" style="109" customWidth="1"/>
    <col min="3" max="3" width="23.28515625" style="369" customWidth="1"/>
    <col min="4" max="4" width="14.42578125" style="235" customWidth="1"/>
    <col min="5" max="5" width="21" style="109" customWidth="1"/>
    <col min="6" max="6" width="32.42578125" style="109" bestFit="1" customWidth="1"/>
    <col min="7" max="7" width="24.5703125" style="109" customWidth="1"/>
    <col min="8" max="8" width="29.85546875" style="109" bestFit="1" customWidth="1"/>
    <col min="9" max="9" width="35.85546875" style="109" customWidth="1"/>
    <col min="10" max="10" width="24.7109375" style="109" customWidth="1"/>
    <col min="11" max="11" width="15.42578125" style="109" bestFit="1" customWidth="1"/>
    <col min="12" max="12" width="6.7109375" style="109" customWidth="1"/>
    <col min="13" max="13" width="23.140625" style="109" bestFit="1" customWidth="1"/>
    <col min="14" max="14" width="15" style="109" bestFit="1" customWidth="1"/>
    <col min="15" max="15" width="25" style="109" bestFit="1" customWidth="1"/>
    <col min="16" max="16" width="12.7109375" style="109" bestFit="1" customWidth="1"/>
    <col min="17" max="16384" width="9.140625" style="109"/>
  </cols>
  <sheetData>
    <row r="1" spans="1:17" x14ac:dyDescent="0.7">
      <c r="A1" s="648" t="s">
        <v>19</v>
      </c>
      <c r="B1" s="648"/>
      <c r="C1" s="648"/>
      <c r="D1" s="648"/>
      <c r="E1" s="648"/>
      <c r="F1" s="648"/>
      <c r="G1" s="648"/>
      <c r="H1" s="648"/>
      <c r="I1" s="648"/>
      <c r="J1" s="648"/>
      <c r="K1" s="108"/>
      <c r="L1" s="108"/>
      <c r="M1" s="108"/>
      <c r="N1" s="108"/>
    </row>
    <row r="2" spans="1:17" x14ac:dyDescent="0.7">
      <c r="A2" s="651" t="s">
        <v>145</v>
      </c>
      <c r="B2" s="651"/>
      <c r="C2" s="651"/>
      <c r="D2" s="651"/>
      <c r="E2" s="651"/>
      <c r="F2" s="110"/>
      <c r="G2" s="111"/>
      <c r="H2" s="112"/>
      <c r="I2" s="112"/>
      <c r="J2" s="111" t="s">
        <v>26</v>
      </c>
      <c r="K2" s="108"/>
      <c r="L2" s="108"/>
      <c r="M2" s="108"/>
      <c r="N2" s="108"/>
    </row>
    <row r="3" spans="1:17" x14ac:dyDescent="0.7">
      <c r="A3" s="645" t="s">
        <v>146</v>
      </c>
      <c r="B3" s="645"/>
      <c r="C3" s="645"/>
      <c r="D3" s="645"/>
      <c r="E3" s="645"/>
      <c r="F3" s="114"/>
      <c r="G3" s="114"/>
      <c r="H3" s="114"/>
      <c r="I3" s="113"/>
      <c r="J3" s="113"/>
      <c r="K3" s="108"/>
      <c r="L3" s="108"/>
      <c r="M3" s="108"/>
      <c r="N3" s="108"/>
    </row>
    <row r="4" spans="1:17" x14ac:dyDescent="0.7">
      <c r="A4" s="645" t="s">
        <v>147</v>
      </c>
      <c r="B4" s="645"/>
      <c r="C4" s="645"/>
      <c r="D4" s="645"/>
      <c r="E4" s="645"/>
      <c r="F4" s="645"/>
      <c r="G4" s="644" t="s">
        <v>18</v>
      </c>
      <c r="H4" s="644"/>
      <c r="I4" s="644"/>
      <c r="J4" s="113"/>
      <c r="K4" s="108"/>
      <c r="L4" s="108"/>
      <c r="M4" s="108"/>
      <c r="N4" s="108"/>
    </row>
    <row r="5" spans="1:17" x14ac:dyDescent="0.7">
      <c r="A5" s="644" t="s">
        <v>148</v>
      </c>
      <c r="B5" s="644"/>
      <c r="C5" s="644"/>
      <c r="D5" s="644"/>
      <c r="E5" s="113"/>
      <c r="F5" s="113"/>
      <c r="G5" s="114"/>
      <c r="H5" s="114"/>
      <c r="I5" s="113"/>
      <c r="J5" s="113"/>
      <c r="K5" s="116"/>
      <c r="L5" s="116"/>
      <c r="M5" s="116" t="s">
        <v>115</v>
      </c>
      <c r="N5" s="116" t="s">
        <v>111</v>
      </c>
      <c r="O5" s="117" t="e">
        <f>+#REF!</f>
        <v>#REF!</v>
      </c>
    </row>
    <row r="6" spans="1:17" x14ac:dyDescent="0.7">
      <c r="A6" s="644" t="s">
        <v>157</v>
      </c>
      <c r="B6" s="645"/>
      <c r="C6" s="353"/>
      <c r="D6" s="113"/>
      <c r="E6" s="115" t="s">
        <v>375</v>
      </c>
      <c r="F6" s="108"/>
      <c r="G6" s="113"/>
      <c r="H6" s="113"/>
      <c r="I6" s="113"/>
      <c r="J6" s="113"/>
      <c r="K6" s="118"/>
      <c r="M6" s="109" t="s">
        <v>114</v>
      </c>
      <c r="N6" s="108" t="s">
        <v>110</v>
      </c>
      <c r="O6" s="119">
        <v>17335590.940000001</v>
      </c>
    </row>
    <row r="7" spans="1:17" x14ac:dyDescent="0.7">
      <c r="A7" s="122"/>
      <c r="B7" s="120"/>
      <c r="C7" s="370"/>
      <c r="D7" s="120"/>
      <c r="E7" s="120"/>
      <c r="F7" s="120"/>
      <c r="G7" s="121"/>
      <c r="H7" s="122"/>
      <c r="I7" s="122"/>
      <c r="J7" s="123" t="s">
        <v>16</v>
      </c>
      <c r="K7" s="118"/>
      <c r="N7" s="108" t="s">
        <v>112</v>
      </c>
      <c r="O7" s="124" t="e">
        <f>+O5-O6</f>
        <v>#REF!</v>
      </c>
    </row>
    <row r="8" spans="1:17" s="127" customFormat="1" x14ac:dyDescent="0.7">
      <c r="A8" s="646" t="s">
        <v>0</v>
      </c>
      <c r="B8" s="646" t="s">
        <v>26</v>
      </c>
      <c r="C8" s="649" t="s">
        <v>3</v>
      </c>
      <c r="D8" s="650"/>
      <c r="E8" s="649" t="s">
        <v>4</v>
      </c>
      <c r="F8" s="650"/>
      <c r="G8" s="649" t="s">
        <v>5</v>
      </c>
      <c r="H8" s="650"/>
      <c r="I8" s="125" t="s">
        <v>6</v>
      </c>
      <c r="J8" s="646" t="s">
        <v>13</v>
      </c>
      <c r="K8" s="126"/>
      <c r="N8" s="128"/>
    </row>
    <row r="9" spans="1:17" s="127" customFormat="1" x14ac:dyDescent="0.7">
      <c r="A9" s="647"/>
      <c r="B9" s="647"/>
      <c r="C9" s="354" t="s">
        <v>7</v>
      </c>
      <c r="D9" s="125" t="s">
        <v>8</v>
      </c>
      <c r="E9" s="125" t="s">
        <v>9</v>
      </c>
      <c r="F9" s="125" t="s">
        <v>2</v>
      </c>
      <c r="G9" s="125" t="s">
        <v>9</v>
      </c>
      <c r="H9" s="125" t="s">
        <v>2</v>
      </c>
      <c r="I9" s="125" t="s">
        <v>10</v>
      </c>
      <c r="J9" s="647"/>
      <c r="K9" s="128"/>
      <c r="L9" s="129"/>
      <c r="M9" s="130"/>
      <c r="N9" s="128"/>
    </row>
    <row r="10" spans="1:17" x14ac:dyDescent="0.7">
      <c r="A10" s="176">
        <v>1</v>
      </c>
      <c r="B10" s="131" t="s">
        <v>452</v>
      </c>
      <c r="C10" s="355"/>
      <c r="D10" s="132"/>
      <c r="E10" s="133"/>
      <c r="F10" s="134"/>
      <c r="G10" s="133"/>
      <c r="H10" s="134"/>
      <c r="I10" s="134"/>
      <c r="J10" s="135"/>
      <c r="K10" s="108"/>
      <c r="L10" s="108"/>
      <c r="M10" s="108" t="s">
        <v>70</v>
      </c>
      <c r="N10" s="108"/>
    </row>
    <row r="11" spans="1:17" s="147" customFormat="1" x14ac:dyDescent="0.7">
      <c r="A11" s="263">
        <v>1.1000000000000001</v>
      </c>
      <c r="B11" s="136" t="s">
        <v>104</v>
      </c>
      <c r="C11" s="137">
        <f>+M11</f>
        <v>16000</v>
      </c>
      <c r="D11" s="138" t="s">
        <v>25</v>
      </c>
      <c r="E11" s="139"/>
      <c r="F11" s="140">
        <f>C11*E11</f>
        <v>0</v>
      </c>
      <c r="G11" s="139">
        <v>15</v>
      </c>
      <c r="H11" s="137">
        <f>C11*G11</f>
        <v>240000</v>
      </c>
      <c r="I11" s="137">
        <f>SUM(F11,H11)</f>
        <v>240000</v>
      </c>
      <c r="J11" s="141"/>
      <c r="K11" s="142"/>
      <c r="L11" s="143" t="s">
        <v>68</v>
      </c>
      <c r="M11" s="144">
        <v>16000</v>
      </c>
      <c r="N11" s="145" t="s">
        <v>69</v>
      </c>
      <c r="O11" s="146" t="s">
        <v>92</v>
      </c>
      <c r="Q11" s="147" t="s">
        <v>26</v>
      </c>
    </row>
    <row r="12" spans="1:17" s="147" customFormat="1" x14ac:dyDescent="0.7">
      <c r="A12" s="263">
        <v>1.2</v>
      </c>
      <c r="B12" s="136" t="s">
        <v>103</v>
      </c>
      <c r="C12" s="148">
        <v>1</v>
      </c>
      <c r="D12" s="138" t="s">
        <v>43</v>
      </c>
      <c r="E12" s="139"/>
      <c r="F12" s="149">
        <f>C12*E12</f>
        <v>0</v>
      </c>
      <c r="G12" s="139">
        <v>100000</v>
      </c>
      <c r="H12" s="148">
        <f>C12*G12</f>
        <v>100000</v>
      </c>
      <c r="I12" s="148">
        <f>SUM(F12,H12)</f>
        <v>100000</v>
      </c>
      <c r="J12" s="141"/>
      <c r="K12" s="142"/>
      <c r="M12" s="150"/>
      <c r="N12" s="142"/>
      <c r="O12" s="151"/>
    </row>
    <row r="13" spans="1:17" s="160" customFormat="1" x14ac:dyDescent="0.7">
      <c r="A13" s="263">
        <v>1.8</v>
      </c>
      <c r="B13" s="152" t="s">
        <v>106</v>
      </c>
      <c r="C13" s="149">
        <v>1</v>
      </c>
      <c r="D13" s="138" t="s">
        <v>43</v>
      </c>
      <c r="E13" s="139"/>
      <c r="F13" s="149">
        <f>C13*E13</f>
        <v>0</v>
      </c>
      <c r="G13" s="139">
        <v>25440.44</v>
      </c>
      <c r="H13" s="276">
        <f>C13*G13</f>
        <v>25440.44</v>
      </c>
      <c r="I13" s="158">
        <f>SUM(F13,H13)</f>
        <v>25440.44</v>
      </c>
      <c r="J13" s="153"/>
      <c r="K13" s="159"/>
      <c r="M13" s="161"/>
      <c r="N13" s="159"/>
      <c r="O13" s="159"/>
    </row>
    <row r="14" spans="1:17" s="160" customFormat="1" x14ac:dyDescent="0.7">
      <c r="A14" s="263">
        <v>1.9</v>
      </c>
      <c r="B14" s="152" t="s">
        <v>105</v>
      </c>
      <c r="C14" s="149">
        <v>1</v>
      </c>
      <c r="D14" s="138" t="s">
        <v>43</v>
      </c>
      <c r="E14" s="139"/>
      <c r="F14" s="149">
        <f>C14*E14</f>
        <v>0</v>
      </c>
      <c r="G14" s="139">
        <v>25000</v>
      </c>
      <c r="H14" s="149">
        <f>C14*G14</f>
        <v>25000</v>
      </c>
      <c r="I14" s="149">
        <f>SUM(F14,H14)</f>
        <v>25000</v>
      </c>
      <c r="J14" s="153"/>
      <c r="K14" s="159"/>
      <c r="M14" s="161"/>
      <c r="N14" s="159"/>
      <c r="O14" s="159"/>
    </row>
    <row r="15" spans="1:17" s="170" customFormat="1" x14ac:dyDescent="0.7">
      <c r="A15" s="162"/>
      <c r="B15" s="163" t="s">
        <v>454</v>
      </c>
      <c r="C15" s="356">
        <f>SUM(C11:C14)</f>
        <v>16003</v>
      </c>
      <c r="D15" s="164"/>
      <c r="E15" s="165"/>
      <c r="F15" s="356">
        <f>SUM(F11:F14)</f>
        <v>0</v>
      </c>
      <c r="G15" s="166"/>
      <c r="H15" s="356">
        <f>SUM(H11:H14)</f>
        <v>390440.44</v>
      </c>
      <c r="I15" s="356">
        <f>SUM(I11:I14)</f>
        <v>390440.44</v>
      </c>
      <c r="J15" s="167"/>
      <c r="K15" s="168"/>
      <c r="L15" s="109" t="s">
        <v>68</v>
      </c>
      <c r="M15" s="154" t="e">
        <f>+#REF!-M16-M18</f>
        <v>#REF!</v>
      </c>
      <c r="N15" s="108" t="s">
        <v>69</v>
      </c>
      <c r="O15" s="169" t="s">
        <v>94</v>
      </c>
    </row>
    <row r="16" spans="1:17" x14ac:dyDescent="0.7">
      <c r="A16" s="176">
        <v>2</v>
      </c>
      <c r="B16" s="131" t="s">
        <v>453</v>
      </c>
      <c r="C16" s="355"/>
      <c r="D16" s="132"/>
      <c r="E16" s="133"/>
      <c r="F16" s="134"/>
      <c r="G16" s="133"/>
      <c r="H16" s="134"/>
      <c r="I16" s="134"/>
      <c r="J16" s="135"/>
      <c r="K16" s="108"/>
      <c r="L16" s="108"/>
      <c r="M16" s="108" t="s">
        <v>70</v>
      </c>
      <c r="N16" s="108"/>
    </row>
    <row r="17" spans="1:16" s="503" customFormat="1" x14ac:dyDescent="0.7">
      <c r="A17" s="497">
        <v>2.1</v>
      </c>
      <c r="B17" s="498" t="s">
        <v>455</v>
      </c>
      <c r="C17" s="148">
        <v>10346</v>
      </c>
      <c r="D17" s="138" t="s">
        <v>25</v>
      </c>
      <c r="E17" s="495"/>
      <c r="F17" s="149"/>
      <c r="G17" s="495">
        <v>3.25</v>
      </c>
      <c r="H17" s="137">
        <f>C17*G17</f>
        <v>33624.5</v>
      </c>
      <c r="I17" s="137">
        <f t="shared" ref="I17:I21" si="0">SUM(F17,H17)</f>
        <v>33624.5</v>
      </c>
      <c r="J17" s="496"/>
      <c r="K17" s="502"/>
      <c r="L17" s="502"/>
      <c r="M17" s="502"/>
      <c r="N17" s="502"/>
    </row>
    <row r="18" spans="1:16" s="147" customFormat="1" x14ac:dyDescent="0.7">
      <c r="A18" s="263">
        <v>1.3</v>
      </c>
      <c r="B18" s="136" t="s">
        <v>354</v>
      </c>
      <c r="C18" s="499">
        <v>10346</v>
      </c>
      <c r="D18" s="138" t="s">
        <v>25</v>
      </c>
      <c r="E18" s="139">
        <v>3.25</v>
      </c>
      <c r="F18" s="140">
        <f t="shared" ref="F18:F21" si="1">C18*E18</f>
        <v>33624.5</v>
      </c>
      <c r="G18" s="139">
        <v>3.5</v>
      </c>
      <c r="H18" s="137">
        <f>C18*G18</f>
        <v>36211</v>
      </c>
      <c r="I18" s="137">
        <f t="shared" si="0"/>
        <v>69835.5</v>
      </c>
      <c r="J18" s="141"/>
      <c r="K18" s="142"/>
      <c r="L18" s="143"/>
      <c r="M18" s="144"/>
      <c r="N18" s="145"/>
      <c r="O18" s="146"/>
    </row>
    <row r="19" spans="1:16" s="160" customFormat="1" x14ac:dyDescent="0.7">
      <c r="A19" s="263">
        <v>1.4</v>
      </c>
      <c r="B19" s="152" t="s">
        <v>102</v>
      </c>
      <c r="C19" s="140">
        <f>C18*0.2</f>
        <v>2069.2000000000003</v>
      </c>
      <c r="D19" s="138" t="s">
        <v>24</v>
      </c>
      <c r="E19" s="139">
        <v>220</v>
      </c>
      <c r="F19" s="140">
        <f t="shared" si="1"/>
        <v>455224.00000000006</v>
      </c>
      <c r="G19" s="139">
        <v>100</v>
      </c>
      <c r="H19" s="140">
        <f t="shared" ref="H19" si="2">C19*G19</f>
        <v>206920.00000000003</v>
      </c>
      <c r="I19" s="140">
        <f t="shared" si="0"/>
        <v>662144.00000000012</v>
      </c>
      <c r="J19" s="189"/>
      <c r="K19" s="159"/>
      <c r="L19" s="160" t="s">
        <v>68</v>
      </c>
      <c r="M19" s="504">
        <v>941</v>
      </c>
      <c r="N19" s="159" t="s">
        <v>69</v>
      </c>
      <c r="O19" s="160" t="s">
        <v>95</v>
      </c>
    </row>
    <row r="20" spans="1:16" x14ac:dyDescent="0.7">
      <c r="A20" s="263">
        <v>1.5</v>
      </c>
      <c r="B20" s="152" t="s">
        <v>88</v>
      </c>
      <c r="C20" s="140">
        <f>C18*0.05</f>
        <v>517.30000000000007</v>
      </c>
      <c r="D20" s="138" t="s">
        <v>24</v>
      </c>
      <c r="E20" s="139">
        <v>450</v>
      </c>
      <c r="F20" s="140">
        <f t="shared" si="1"/>
        <v>232785.00000000003</v>
      </c>
      <c r="G20" s="139">
        <v>50</v>
      </c>
      <c r="H20" s="140">
        <f t="shared" ref="H20:H21" si="3">C20*G20</f>
        <v>25865.000000000004</v>
      </c>
      <c r="I20" s="140">
        <f t="shared" si="0"/>
        <v>258650.00000000003</v>
      </c>
      <c r="J20" s="240"/>
      <c r="K20" s="108"/>
      <c r="L20" s="109" t="s">
        <v>68</v>
      </c>
      <c r="M20" s="156">
        <f>16000-M19</f>
        <v>15059</v>
      </c>
      <c r="N20" s="108" t="s">
        <v>69</v>
      </c>
      <c r="O20" s="157" t="s">
        <v>93</v>
      </c>
    </row>
    <row r="21" spans="1:16" s="191" customFormat="1" x14ac:dyDescent="0.7">
      <c r="A21" s="278">
        <v>1.6</v>
      </c>
      <c r="B21" s="182" t="s">
        <v>301</v>
      </c>
      <c r="C21" s="186">
        <v>10346</v>
      </c>
      <c r="D21" s="187" t="s">
        <v>25</v>
      </c>
      <c r="E21" s="188">
        <v>42</v>
      </c>
      <c r="F21" s="186">
        <f t="shared" si="1"/>
        <v>434532</v>
      </c>
      <c r="G21" s="188">
        <v>10</v>
      </c>
      <c r="H21" s="186">
        <f t="shared" si="3"/>
        <v>103460</v>
      </c>
      <c r="I21" s="186">
        <f t="shared" si="0"/>
        <v>537992</v>
      </c>
      <c r="J21" s="240"/>
      <c r="K21" s="190"/>
      <c r="L21" s="191" t="s">
        <v>68</v>
      </c>
      <c r="M21" s="279">
        <v>5800</v>
      </c>
      <c r="N21" s="190" t="s">
        <v>69</v>
      </c>
      <c r="O21" s="280" t="s">
        <v>72</v>
      </c>
    </row>
    <row r="22" spans="1:16" x14ac:dyDescent="0.7">
      <c r="A22" s="263"/>
      <c r="B22" s="152"/>
      <c r="C22" s="140"/>
      <c r="D22" s="138"/>
      <c r="E22" s="139"/>
      <c r="F22" s="140"/>
      <c r="G22" s="139"/>
      <c r="H22" s="140"/>
      <c r="I22" s="140"/>
      <c r="J22" s="153"/>
      <c r="K22" s="108"/>
      <c r="L22" s="109" t="s">
        <v>68</v>
      </c>
      <c r="M22" s="156">
        <f>+M20-M21</f>
        <v>9259</v>
      </c>
      <c r="N22" s="108" t="s">
        <v>69</v>
      </c>
      <c r="O22" s="157" t="s">
        <v>71</v>
      </c>
    </row>
    <row r="23" spans="1:16" s="170" customFormat="1" x14ac:dyDescent="0.7">
      <c r="A23" s="162"/>
      <c r="B23" s="163" t="s">
        <v>74</v>
      </c>
      <c r="C23" s="356"/>
      <c r="D23" s="164"/>
      <c r="E23" s="165"/>
      <c r="F23" s="166">
        <f>SUM(F11:F22)</f>
        <v>1156165.5</v>
      </c>
      <c r="G23" s="166"/>
      <c r="H23" s="166">
        <f>SUM(H11:H22)</f>
        <v>1186961.3800000001</v>
      </c>
      <c r="I23" s="166">
        <f>SUM(I17:I22)</f>
        <v>1562246</v>
      </c>
      <c r="J23" s="167"/>
      <c r="K23" s="168"/>
      <c r="L23" s="109" t="s">
        <v>68</v>
      </c>
      <c r="M23" s="154">
        <f>+M22-M24-M25</f>
        <v>6633</v>
      </c>
      <c r="N23" s="108" t="s">
        <v>69</v>
      </c>
      <c r="O23" s="169" t="s">
        <v>94</v>
      </c>
    </row>
    <row r="24" spans="1:16" x14ac:dyDescent="0.7">
      <c r="A24" s="176">
        <v>3</v>
      </c>
      <c r="B24" s="131" t="s">
        <v>37</v>
      </c>
      <c r="C24" s="355"/>
      <c r="D24" s="132"/>
      <c r="E24" s="133"/>
      <c r="F24" s="134"/>
      <c r="G24" s="133"/>
      <c r="H24" s="134"/>
      <c r="I24" s="134"/>
      <c r="J24" s="135"/>
      <c r="K24" s="108"/>
      <c r="L24" s="109" t="s">
        <v>68</v>
      </c>
      <c r="M24" s="171">
        <v>1313</v>
      </c>
      <c r="N24" s="108" t="s">
        <v>69</v>
      </c>
      <c r="O24" s="169" t="s">
        <v>87</v>
      </c>
    </row>
    <row r="25" spans="1:16" s="512" customFormat="1" x14ac:dyDescent="0.7">
      <c r="A25" s="505">
        <v>2.1</v>
      </c>
      <c r="B25" s="506" t="s">
        <v>107</v>
      </c>
      <c r="C25" s="507">
        <f>C30*0.2</f>
        <v>946.2</v>
      </c>
      <c r="D25" s="508" t="s">
        <v>24</v>
      </c>
      <c r="E25" s="509">
        <v>550</v>
      </c>
      <c r="F25" s="507">
        <f t="shared" ref="F25:F29" si="4">C25*E25</f>
        <v>520410</v>
      </c>
      <c r="G25" s="509">
        <v>150</v>
      </c>
      <c r="H25" s="507">
        <f t="shared" ref="H25:H30" si="5">C25*G25</f>
        <v>141930</v>
      </c>
      <c r="I25" s="507">
        <f t="shared" ref="I25:I29" si="6">SUM(F25,H25)</f>
        <v>662340</v>
      </c>
      <c r="J25" s="510"/>
      <c r="K25" s="511"/>
      <c r="L25" s="512" t="s">
        <v>68</v>
      </c>
      <c r="M25" s="513">
        <v>1313</v>
      </c>
      <c r="N25" s="511" t="s">
        <v>69</v>
      </c>
      <c r="O25" s="514" t="s">
        <v>87</v>
      </c>
      <c r="P25" s="515"/>
    </row>
    <row r="26" spans="1:16" ht="30" customHeight="1" x14ac:dyDescent="0.7">
      <c r="A26" s="264">
        <v>2.2000000000000002</v>
      </c>
      <c r="B26" s="152" t="s">
        <v>98</v>
      </c>
      <c r="C26" s="140">
        <f>C30*0.05</f>
        <v>236.55</v>
      </c>
      <c r="D26" s="138" t="s">
        <v>24</v>
      </c>
      <c r="E26" s="139">
        <v>550</v>
      </c>
      <c r="F26" s="140">
        <f t="shared" si="4"/>
        <v>130102.5</v>
      </c>
      <c r="G26" s="139">
        <v>50</v>
      </c>
      <c r="H26" s="140">
        <f t="shared" si="5"/>
        <v>11827.5</v>
      </c>
      <c r="I26" s="140">
        <f t="shared" si="6"/>
        <v>141930</v>
      </c>
      <c r="J26" s="153"/>
      <c r="K26" s="108"/>
      <c r="L26" s="108"/>
      <c r="M26" s="108"/>
      <c r="N26" s="108"/>
    </row>
    <row r="27" spans="1:16" hidden="1" x14ac:dyDescent="0.7">
      <c r="A27" s="264"/>
      <c r="B27" s="482"/>
      <c r="C27" s="140"/>
      <c r="D27" s="138"/>
      <c r="E27" s="139"/>
      <c r="F27" s="140">
        <f t="shared" si="4"/>
        <v>0</v>
      </c>
      <c r="G27" s="139"/>
      <c r="H27" s="140">
        <f t="shared" si="5"/>
        <v>0</v>
      </c>
      <c r="I27" s="140">
        <f t="shared" si="6"/>
        <v>0</v>
      </c>
      <c r="J27" s="153"/>
      <c r="K27" s="108"/>
      <c r="L27" s="108"/>
      <c r="M27" s="460">
        <v>9258210</v>
      </c>
      <c r="N27" s="108"/>
      <c r="O27" s="462">
        <v>2804683.83</v>
      </c>
    </row>
    <row r="28" spans="1:16" ht="0.75" customHeight="1" x14ac:dyDescent="0.7">
      <c r="A28" s="264"/>
      <c r="B28" s="482"/>
      <c r="C28" s="140"/>
      <c r="D28" s="138"/>
      <c r="E28" s="139"/>
      <c r="F28" s="140">
        <f t="shared" si="4"/>
        <v>0</v>
      </c>
      <c r="G28" s="139"/>
      <c r="H28" s="140">
        <f t="shared" si="5"/>
        <v>0</v>
      </c>
      <c r="I28" s="140">
        <f t="shared" si="6"/>
        <v>0</v>
      </c>
      <c r="J28" s="153"/>
      <c r="K28" s="108"/>
      <c r="L28" s="108"/>
      <c r="M28" s="461">
        <f>I30-M27</f>
        <v>203790</v>
      </c>
      <c r="N28" s="108"/>
      <c r="O28" s="463">
        <f>O27-M28</f>
        <v>2600893.83</v>
      </c>
    </row>
    <row r="29" spans="1:16" x14ac:dyDescent="0.7">
      <c r="A29" s="264">
        <v>2.5</v>
      </c>
      <c r="B29" s="152" t="s">
        <v>456</v>
      </c>
      <c r="C29" s="140">
        <v>4731</v>
      </c>
      <c r="D29" s="138" t="s">
        <v>25</v>
      </c>
      <c r="E29" s="450">
        <v>140</v>
      </c>
      <c r="F29" s="140">
        <f t="shared" si="4"/>
        <v>662340</v>
      </c>
      <c r="G29" s="450">
        <v>50</v>
      </c>
      <c r="H29" s="140">
        <f t="shared" si="5"/>
        <v>236550</v>
      </c>
      <c r="I29" s="140">
        <f t="shared" si="6"/>
        <v>898890</v>
      </c>
      <c r="J29" s="474"/>
      <c r="K29" s="108"/>
      <c r="L29" s="108"/>
      <c r="M29" s="238" t="s">
        <v>158</v>
      </c>
      <c r="N29" s="108"/>
    </row>
    <row r="30" spans="1:16" s="191" customFormat="1" ht="61.5" x14ac:dyDescent="0.7">
      <c r="A30" s="446">
        <v>2.6</v>
      </c>
      <c r="B30" s="447" t="s">
        <v>355</v>
      </c>
      <c r="C30" s="448">
        <v>4731</v>
      </c>
      <c r="D30" s="449" t="s">
        <v>25</v>
      </c>
      <c r="E30" s="450">
        <v>1800</v>
      </c>
      <c r="F30" s="448">
        <f>C30*E30</f>
        <v>8515800</v>
      </c>
      <c r="G30" s="450">
        <v>200</v>
      </c>
      <c r="H30" s="448">
        <f t="shared" si="5"/>
        <v>946200</v>
      </c>
      <c r="I30" s="448">
        <f>SUM(F30,H30)</f>
        <v>9462000</v>
      </c>
      <c r="J30" s="451"/>
      <c r="K30" s="190"/>
      <c r="L30" s="190"/>
      <c r="M30" s="190"/>
      <c r="N30" s="190"/>
    </row>
    <row r="31" spans="1:16" x14ac:dyDescent="0.7">
      <c r="A31" s="172"/>
      <c r="B31" s="163" t="s">
        <v>73</v>
      </c>
      <c r="C31" s="357"/>
      <c r="D31" s="173"/>
      <c r="E31" s="174"/>
      <c r="F31" s="166">
        <f>SUM(F25:F30)</f>
        <v>9828652.5</v>
      </c>
      <c r="G31" s="165"/>
      <c r="H31" s="166">
        <f>SUM(H25:H30)</f>
        <v>1336507.5</v>
      </c>
      <c r="I31" s="166">
        <f>SUM(I25:I30)</f>
        <v>11165160</v>
      </c>
      <c r="J31" s="175"/>
      <c r="K31" s="239" t="s">
        <v>159</v>
      </c>
      <c r="L31" s="108"/>
      <c r="M31" s="108"/>
      <c r="N31" s="108"/>
    </row>
    <row r="32" spans="1:16" s="181" customFormat="1" x14ac:dyDescent="0.7">
      <c r="A32" s="176">
        <v>4</v>
      </c>
      <c r="B32" s="131" t="s">
        <v>91</v>
      </c>
      <c r="C32" s="355"/>
      <c r="D32" s="132"/>
      <c r="E32" s="133"/>
      <c r="F32" s="134"/>
      <c r="G32" s="133"/>
      <c r="H32" s="134"/>
      <c r="I32" s="134"/>
      <c r="J32" s="135"/>
      <c r="K32" s="180"/>
      <c r="L32" s="180"/>
      <c r="M32" s="180"/>
      <c r="N32" s="180"/>
    </row>
    <row r="33" spans="1:14" x14ac:dyDescent="0.7">
      <c r="A33" s="264">
        <v>4.0999999999999996</v>
      </c>
      <c r="B33" s="152" t="s">
        <v>107</v>
      </c>
      <c r="C33" s="140">
        <f>897*0.1</f>
        <v>89.7</v>
      </c>
      <c r="D33" s="138" t="s">
        <v>24</v>
      </c>
      <c r="E33" s="139">
        <v>550</v>
      </c>
      <c r="F33" s="149">
        <f>C33*E33</f>
        <v>49335</v>
      </c>
      <c r="G33" s="139">
        <v>150</v>
      </c>
      <c r="H33" s="140">
        <f>C33*G33</f>
        <v>13455</v>
      </c>
      <c r="I33" s="140">
        <f>SUM(F33,H33)</f>
        <v>62790</v>
      </c>
      <c r="J33" s="153"/>
      <c r="K33" s="108"/>
      <c r="L33" s="108"/>
      <c r="M33" s="108"/>
      <c r="N33" s="108"/>
    </row>
    <row r="34" spans="1:14" ht="28.5" customHeight="1" x14ac:dyDescent="0.7">
      <c r="A34" s="264">
        <v>4.2</v>
      </c>
      <c r="B34" s="152" t="s">
        <v>96</v>
      </c>
      <c r="C34" s="140">
        <f>+C33*0.05</f>
        <v>4.4850000000000003</v>
      </c>
      <c r="D34" s="138" t="s">
        <v>24</v>
      </c>
      <c r="E34" s="139">
        <v>500</v>
      </c>
      <c r="F34" s="140">
        <f>C34*E34</f>
        <v>2242.5</v>
      </c>
      <c r="G34" s="139">
        <v>50</v>
      </c>
      <c r="H34" s="140">
        <f>C34*G34</f>
        <v>224.25000000000003</v>
      </c>
      <c r="I34" s="140">
        <f>SUM(F34,H34)</f>
        <v>2466.75</v>
      </c>
      <c r="J34" s="153"/>
      <c r="K34" s="108"/>
      <c r="L34" s="108"/>
      <c r="M34" s="108"/>
      <c r="N34" s="108"/>
    </row>
    <row r="35" spans="1:14" ht="2.25" hidden="1" customHeight="1" x14ac:dyDescent="0.7">
      <c r="A35" s="264">
        <v>4.3</v>
      </c>
      <c r="B35" s="152"/>
      <c r="C35" s="140"/>
      <c r="D35" s="138" t="s">
        <v>24</v>
      </c>
      <c r="E35" s="139">
        <v>2115</v>
      </c>
      <c r="F35" s="140">
        <f>C35*E35</f>
        <v>0</v>
      </c>
      <c r="G35" s="139">
        <v>350</v>
      </c>
      <c r="H35" s="140">
        <f>C35*G35</f>
        <v>0</v>
      </c>
      <c r="I35" s="140">
        <f>SUM(F35,H35)</f>
        <v>0</v>
      </c>
      <c r="J35" s="153"/>
      <c r="K35" s="108"/>
      <c r="L35" s="108"/>
      <c r="M35" s="108"/>
      <c r="N35" s="108"/>
    </row>
    <row r="36" spans="1:14" hidden="1" x14ac:dyDescent="0.7">
      <c r="A36" s="264">
        <v>4.4000000000000004</v>
      </c>
      <c r="B36" s="152"/>
      <c r="C36" s="140"/>
      <c r="D36" s="138" t="s">
        <v>25</v>
      </c>
      <c r="E36" s="139">
        <v>33</v>
      </c>
      <c r="F36" s="140">
        <f>C36*E36</f>
        <v>0</v>
      </c>
      <c r="G36" s="139">
        <v>5</v>
      </c>
      <c r="H36" s="140">
        <f>C36*G36</f>
        <v>0</v>
      </c>
      <c r="I36" s="140">
        <f>SUM(F36,H36)</f>
        <v>0</v>
      </c>
      <c r="J36" s="153"/>
      <c r="K36" s="108"/>
      <c r="L36" s="108"/>
      <c r="M36" s="108"/>
      <c r="N36" s="108"/>
    </row>
    <row r="37" spans="1:14" x14ac:dyDescent="0.7">
      <c r="A37" s="264">
        <v>4.5</v>
      </c>
      <c r="B37" s="152" t="s">
        <v>113</v>
      </c>
      <c r="C37" s="140">
        <v>897</v>
      </c>
      <c r="D37" s="138" t="s">
        <v>25</v>
      </c>
      <c r="E37" s="139">
        <v>115</v>
      </c>
      <c r="F37" s="149">
        <f>C37*E37</f>
        <v>103155</v>
      </c>
      <c r="G37" s="139">
        <v>25</v>
      </c>
      <c r="H37" s="149">
        <f>C37*G37</f>
        <v>22425</v>
      </c>
      <c r="I37" s="149">
        <f>SUM(F37,H37)</f>
        <v>125580</v>
      </c>
      <c r="J37" s="153"/>
      <c r="K37" s="108"/>
      <c r="L37" s="108"/>
      <c r="M37" s="108"/>
      <c r="N37" s="108"/>
    </row>
    <row r="38" spans="1:14" x14ac:dyDescent="0.7">
      <c r="A38" s="264"/>
      <c r="B38" s="152" t="s">
        <v>456</v>
      </c>
      <c r="C38" s="140">
        <v>897</v>
      </c>
      <c r="D38" s="138" t="s">
        <v>25</v>
      </c>
      <c r="E38" s="450">
        <v>140</v>
      </c>
      <c r="F38" s="140">
        <f t="shared" ref="F38" si="7">C38*E38</f>
        <v>125580</v>
      </c>
      <c r="G38" s="450">
        <v>50</v>
      </c>
      <c r="H38" s="140">
        <f t="shared" ref="H38" si="8">C38*G38</f>
        <v>44850</v>
      </c>
      <c r="I38" s="140">
        <f t="shared" ref="I38" si="9">SUM(F38,H38)</f>
        <v>170430</v>
      </c>
      <c r="J38" s="153"/>
      <c r="K38" s="108"/>
      <c r="L38" s="108"/>
      <c r="M38" s="108"/>
      <c r="N38" s="108"/>
    </row>
    <row r="39" spans="1:14" x14ac:dyDescent="0.7">
      <c r="A39" s="172"/>
      <c r="B39" s="163" t="s">
        <v>90</v>
      </c>
      <c r="C39" s="357"/>
      <c r="D39" s="173"/>
      <c r="E39" s="174"/>
      <c r="F39" s="166">
        <f>SUM(F33:F37)</f>
        <v>154732.5</v>
      </c>
      <c r="G39" s="166"/>
      <c r="H39" s="166">
        <f>SUM(H33:H37)</f>
        <v>36104.25</v>
      </c>
      <c r="I39" s="166">
        <f>SUM(I33:I38)</f>
        <v>361266.75</v>
      </c>
      <c r="J39" s="175"/>
      <c r="K39" s="108"/>
      <c r="L39" s="108"/>
      <c r="M39" s="108"/>
      <c r="N39" s="108"/>
    </row>
    <row r="40" spans="1:14" x14ac:dyDescent="0.7">
      <c r="A40" s="176">
        <v>5</v>
      </c>
      <c r="B40" s="131" t="s">
        <v>38</v>
      </c>
      <c r="C40" s="355"/>
      <c r="D40" s="132"/>
      <c r="E40" s="133"/>
      <c r="F40" s="134"/>
      <c r="G40" s="133"/>
      <c r="H40" s="134"/>
      <c r="I40" s="134"/>
      <c r="J40" s="135"/>
      <c r="K40" s="108"/>
      <c r="L40" s="108"/>
      <c r="M40" s="108"/>
      <c r="N40" s="108"/>
    </row>
    <row r="41" spans="1:14" x14ac:dyDescent="0.7">
      <c r="A41" s="260">
        <v>5.0999999999999996</v>
      </c>
      <c r="B41" s="182" t="s">
        <v>78</v>
      </c>
      <c r="C41" s="140">
        <v>396</v>
      </c>
      <c r="D41" s="138" t="s">
        <v>41</v>
      </c>
      <c r="E41" s="139"/>
      <c r="F41" s="140">
        <f>C41*E41</f>
        <v>0</v>
      </c>
      <c r="G41" s="139">
        <v>50</v>
      </c>
      <c r="H41" s="140">
        <f>C41*G41</f>
        <v>19800</v>
      </c>
      <c r="I41" s="140">
        <f>SUM(F41,H41)</f>
        <v>19800</v>
      </c>
      <c r="J41" s="183"/>
      <c r="K41" s="108"/>
      <c r="L41" s="108" t="s">
        <v>76</v>
      </c>
      <c r="M41" s="184">
        <v>396</v>
      </c>
      <c r="N41" s="108" t="s">
        <v>77</v>
      </c>
    </row>
    <row r="42" spans="1:14" x14ac:dyDescent="0.7">
      <c r="A42" s="260">
        <v>5.2</v>
      </c>
      <c r="B42" s="152" t="s">
        <v>303</v>
      </c>
      <c r="C42" s="140">
        <v>211</v>
      </c>
      <c r="D42" s="138" t="s">
        <v>41</v>
      </c>
      <c r="E42" s="188">
        <v>1200</v>
      </c>
      <c r="F42" s="140">
        <f>C42*E42</f>
        <v>253200</v>
      </c>
      <c r="G42" s="188">
        <v>250</v>
      </c>
      <c r="H42" s="140">
        <f>C42*G42</f>
        <v>52750</v>
      </c>
      <c r="I42" s="140">
        <f>SUM(F42,H42)</f>
        <v>305950</v>
      </c>
      <c r="J42" s="153"/>
      <c r="K42" s="108"/>
      <c r="L42" s="108"/>
      <c r="M42" s="159"/>
      <c r="N42" s="108"/>
    </row>
    <row r="43" spans="1:14" x14ac:dyDescent="0.7">
      <c r="A43" s="260">
        <v>5.3</v>
      </c>
      <c r="B43" s="152" t="s">
        <v>302</v>
      </c>
      <c r="C43" s="140">
        <v>186</v>
      </c>
      <c r="D43" s="138" t="s">
        <v>41</v>
      </c>
      <c r="E43" s="188">
        <v>1200</v>
      </c>
      <c r="F43" s="140">
        <f>C43*E43</f>
        <v>223200</v>
      </c>
      <c r="G43" s="188">
        <v>250</v>
      </c>
      <c r="H43" s="140">
        <f>C43*G43</f>
        <v>46500</v>
      </c>
      <c r="I43" s="140">
        <f>SUM(F43,H43)</f>
        <v>269700</v>
      </c>
      <c r="J43" s="153"/>
      <c r="K43" s="108"/>
      <c r="L43" s="108"/>
      <c r="M43" s="159"/>
      <c r="N43" s="108"/>
    </row>
    <row r="44" spans="1:14" x14ac:dyDescent="0.7">
      <c r="A44" s="260">
        <v>5.4</v>
      </c>
      <c r="B44" s="152" t="s">
        <v>376</v>
      </c>
      <c r="C44" s="284">
        <f>(397*0.1*0.3*2)+(0.5*0.1*397)</f>
        <v>43.67</v>
      </c>
      <c r="D44" s="138" t="s">
        <v>24</v>
      </c>
      <c r="E44" s="139">
        <v>2115</v>
      </c>
      <c r="F44" s="149">
        <f t="shared" ref="F44:F47" si="10">C44*E44</f>
        <v>92362.05</v>
      </c>
      <c r="G44" s="139">
        <v>350</v>
      </c>
      <c r="H44" s="149">
        <f t="shared" ref="H44:H47" si="11">C44*G44</f>
        <v>15284.5</v>
      </c>
      <c r="I44" s="149">
        <f t="shared" ref="I44:I47" si="12">SUM(F44,H44)</f>
        <v>107646.55</v>
      </c>
      <c r="J44" s="153"/>
      <c r="K44" s="108"/>
      <c r="L44" s="108"/>
      <c r="M44" s="159"/>
      <c r="N44" s="108"/>
    </row>
    <row r="45" spans="1:14" x14ac:dyDescent="0.7">
      <c r="A45" s="260">
        <v>5.5</v>
      </c>
      <c r="B45" s="283" t="s">
        <v>99</v>
      </c>
      <c r="C45" s="222">
        <f>+(397*0.3*2)+(397*0.4)</f>
        <v>397</v>
      </c>
      <c r="D45" s="138" t="s">
        <v>25</v>
      </c>
      <c r="E45" s="139">
        <v>30</v>
      </c>
      <c r="F45" s="140">
        <f t="shared" si="10"/>
        <v>11910</v>
      </c>
      <c r="G45" s="139">
        <v>5</v>
      </c>
      <c r="H45" s="140">
        <f t="shared" si="11"/>
        <v>1985</v>
      </c>
      <c r="I45" s="140">
        <f t="shared" si="12"/>
        <v>13895</v>
      </c>
      <c r="J45" s="153"/>
      <c r="K45" s="108"/>
      <c r="L45" s="108"/>
      <c r="M45" s="159"/>
      <c r="N45" s="108"/>
    </row>
    <row r="46" spans="1:14" x14ac:dyDescent="0.7">
      <c r="A46" s="260">
        <v>5.6</v>
      </c>
      <c r="B46" s="277" t="s">
        <v>262</v>
      </c>
      <c r="C46" s="284">
        <f>+(397*0.3*2*0.8)</f>
        <v>190.56</v>
      </c>
      <c r="D46" s="138" t="s">
        <v>25</v>
      </c>
      <c r="E46" s="139">
        <v>451.4</v>
      </c>
      <c r="F46" s="149">
        <f t="shared" si="10"/>
        <v>86018.784</v>
      </c>
      <c r="G46" s="139">
        <v>133</v>
      </c>
      <c r="H46" s="149">
        <f t="shared" si="11"/>
        <v>25344.48</v>
      </c>
      <c r="I46" s="149">
        <f t="shared" si="12"/>
        <v>111363.264</v>
      </c>
      <c r="J46" s="153"/>
      <c r="K46" s="108"/>
      <c r="L46" s="108"/>
      <c r="M46" s="159"/>
      <c r="N46" s="108"/>
    </row>
    <row r="47" spans="1:14" x14ac:dyDescent="0.7">
      <c r="A47" s="260">
        <v>5.7</v>
      </c>
      <c r="B47" s="277" t="s">
        <v>96</v>
      </c>
      <c r="C47" s="149">
        <f>+(0.5*0.05*397*1.25)</f>
        <v>12.40625</v>
      </c>
      <c r="D47" s="138" t="s">
        <v>24</v>
      </c>
      <c r="E47" s="139">
        <v>508</v>
      </c>
      <c r="F47" s="149">
        <f t="shared" si="10"/>
        <v>6302.375</v>
      </c>
      <c r="G47" s="139">
        <v>100</v>
      </c>
      <c r="H47" s="149">
        <f t="shared" si="11"/>
        <v>1240.625</v>
      </c>
      <c r="I47" s="149">
        <f t="shared" si="12"/>
        <v>7543</v>
      </c>
      <c r="J47" s="153"/>
      <c r="K47" s="108"/>
      <c r="L47" s="108"/>
      <c r="M47" s="159"/>
      <c r="N47" s="108"/>
    </row>
    <row r="48" spans="1:14" s="170" customFormat="1" x14ac:dyDescent="0.7">
      <c r="A48" s="162"/>
      <c r="B48" s="163" t="s">
        <v>75</v>
      </c>
      <c r="C48" s="356"/>
      <c r="D48" s="164"/>
      <c r="E48" s="165"/>
      <c r="F48" s="166">
        <f>SUM(F41:F47)</f>
        <v>672993.20900000003</v>
      </c>
      <c r="G48" s="165"/>
      <c r="H48" s="166">
        <f>SUM(H41:H47)</f>
        <v>162904.60500000001</v>
      </c>
      <c r="I48" s="166">
        <f>SUM(I41:I47)</f>
        <v>835897.81400000001</v>
      </c>
      <c r="J48" s="167"/>
      <c r="K48" s="168"/>
      <c r="L48" s="168"/>
      <c r="M48" s="185" t="s">
        <v>26</v>
      </c>
      <c r="N48" s="168"/>
    </row>
    <row r="49" spans="1:14" s="351" customFormat="1" x14ac:dyDescent="0.7">
      <c r="A49" s="176">
        <v>6</v>
      </c>
      <c r="B49" s="131" t="s">
        <v>366</v>
      </c>
      <c r="C49" s="355"/>
      <c r="D49" s="132"/>
      <c r="E49" s="133"/>
      <c r="F49" s="134"/>
      <c r="G49" s="133"/>
      <c r="H49" s="134"/>
      <c r="I49" s="134"/>
      <c r="J49" s="135"/>
      <c r="K49" s="349"/>
      <c r="L49" s="349"/>
      <c r="M49" s="350"/>
      <c r="N49" s="349"/>
    </row>
    <row r="50" spans="1:14" x14ac:dyDescent="0.7">
      <c r="A50" s="253">
        <v>6.1</v>
      </c>
      <c r="B50" s="182" t="s">
        <v>78</v>
      </c>
      <c r="C50" s="186">
        <v>390.4</v>
      </c>
      <c r="D50" s="187" t="s">
        <v>41</v>
      </c>
      <c r="E50" s="188"/>
      <c r="F50" s="186">
        <f t="shared" ref="F50:F58" si="13">C50*E50</f>
        <v>0</v>
      </c>
      <c r="G50" s="188">
        <v>50</v>
      </c>
      <c r="H50" s="186">
        <f t="shared" ref="H50:H57" si="14">C50*G50</f>
        <v>19520</v>
      </c>
      <c r="I50" s="186">
        <f t="shared" ref="I50" si="15">SUM(F50,H50)</f>
        <v>19520</v>
      </c>
      <c r="J50" s="189"/>
      <c r="K50" s="108"/>
      <c r="L50" s="108" t="s">
        <v>76</v>
      </c>
      <c r="M50" s="184">
        <v>493</v>
      </c>
      <c r="N50" s="108" t="s">
        <v>77</v>
      </c>
    </row>
    <row r="51" spans="1:14" s="191" customFormat="1" x14ac:dyDescent="0.7">
      <c r="A51" s="253">
        <v>6.2</v>
      </c>
      <c r="B51" s="283" t="s">
        <v>263</v>
      </c>
      <c r="C51" s="225">
        <v>66.5</v>
      </c>
      <c r="D51" s="289" t="s">
        <v>24</v>
      </c>
      <c r="E51" s="288">
        <v>2115</v>
      </c>
      <c r="F51" s="225">
        <f t="shared" si="13"/>
        <v>140647.5</v>
      </c>
      <c r="G51" s="288">
        <v>350</v>
      </c>
      <c r="H51" s="225">
        <f t="shared" si="14"/>
        <v>23275</v>
      </c>
      <c r="I51" s="292">
        <f t="shared" ref="I51" si="16">F51+H51</f>
        <v>163922.5</v>
      </c>
      <c r="J51" s="343"/>
      <c r="K51" s="190"/>
      <c r="L51" s="190"/>
      <c r="M51" s="346"/>
      <c r="N51" s="190"/>
    </row>
    <row r="52" spans="1:14" s="191" customFormat="1" x14ac:dyDescent="0.7">
      <c r="A52" s="253">
        <v>6.3</v>
      </c>
      <c r="B52" s="182" t="s">
        <v>315</v>
      </c>
      <c r="C52" s="186">
        <v>3768</v>
      </c>
      <c r="D52" s="187" t="s">
        <v>35</v>
      </c>
      <c r="E52" s="345">
        <v>22.1</v>
      </c>
      <c r="F52" s="290">
        <f t="shared" si="13"/>
        <v>83272.800000000003</v>
      </c>
      <c r="G52" s="345">
        <v>3.6</v>
      </c>
      <c r="H52" s="290">
        <f t="shared" si="14"/>
        <v>13564.800000000001</v>
      </c>
      <c r="I52" s="290">
        <f t="shared" ref="I52:I57" si="17">SUM(F52,H52)</f>
        <v>96837.6</v>
      </c>
      <c r="J52" s="189"/>
      <c r="K52" s="190"/>
      <c r="L52" s="190"/>
      <c r="M52" s="346"/>
      <c r="N52" s="190"/>
    </row>
    <row r="53" spans="1:14" s="191" customFormat="1" x14ac:dyDescent="0.7">
      <c r="A53" s="253">
        <v>6.4</v>
      </c>
      <c r="B53" s="182" t="s">
        <v>313</v>
      </c>
      <c r="C53" s="225">
        <v>1043.3599999999999</v>
      </c>
      <c r="D53" s="187" t="s">
        <v>35</v>
      </c>
      <c r="E53" s="345">
        <v>22.75</v>
      </c>
      <c r="F53" s="290">
        <f t="shared" si="13"/>
        <v>23736.44</v>
      </c>
      <c r="G53" s="345">
        <v>4.4000000000000004</v>
      </c>
      <c r="H53" s="290">
        <f t="shared" si="14"/>
        <v>4590.7839999999997</v>
      </c>
      <c r="I53" s="290">
        <f t="shared" si="17"/>
        <v>28327.223999999998</v>
      </c>
      <c r="J53" s="189"/>
      <c r="K53" s="190"/>
      <c r="L53" s="190"/>
      <c r="M53" s="346"/>
      <c r="N53" s="190"/>
    </row>
    <row r="54" spans="1:14" s="191" customFormat="1" x14ac:dyDescent="0.7">
      <c r="A54" s="253">
        <v>6.5</v>
      </c>
      <c r="B54" s="182" t="s">
        <v>260</v>
      </c>
      <c r="C54" s="186">
        <v>2913.34</v>
      </c>
      <c r="D54" s="187" t="s">
        <v>35</v>
      </c>
      <c r="E54" s="345">
        <v>22.1</v>
      </c>
      <c r="F54" s="290">
        <f t="shared" si="13"/>
        <v>64384.814000000006</v>
      </c>
      <c r="G54" s="345">
        <v>3.6</v>
      </c>
      <c r="H54" s="290">
        <f t="shared" si="14"/>
        <v>10488.024000000001</v>
      </c>
      <c r="I54" s="290">
        <f t="shared" si="17"/>
        <v>74872.838000000003</v>
      </c>
      <c r="J54" s="189"/>
      <c r="K54" s="190"/>
      <c r="L54" s="190"/>
      <c r="M54" s="346"/>
      <c r="N54" s="190"/>
    </row>
    <row r="55" spans="1:14" s="191" customFormat="1" x14ac:dyDescent="0.7">
      <c r="A55" s="253">
        <v>6.6</v>
      </c>
      <c r="B55" s="182" t="s">
        <v>335</v>
      </c>
      <c r="C55" s="186">
        <f>547*0.9</f>
        <v>492.3</v>
      </c>
      <c r="D55" s="187" t="s">
        <v>25</v>
      </c>
      <c r="E55" s="288">
        <v>451.4</v>
      </c>
      <c r="F55" s="225">
        <f t="shared" si="13"/>
        <v>222224.22</v>
      </c>
      <c r="G55" s="288">
        <v>133</v>
      </c>
      <c r="H55" s="225">
        <f t="shared" si="14"/>
        <v>65475.9</v>
      </c>
      <c r="I55" s="204">
        <f t="shared" si="17"/>
        <v>287700.12</v>
      </c>
      <c r="J55" s="189"/>
      <c r="K55" s="190"/>
      <c r="L55" s="190"/>
      <c r="M55" s="346"/>
      <c r="N55" s="190"/>
    </row>
    <row r="56" spans="1:14" s="191" customFormat="1" x14ac:dyDescent="0.7">
      <c r="A56" s="253">
        <v>6.7</v>
      </c>
      <c r="B56" s="182" t="s">
        <v>96</v>
      </c>
      <c r="C56" s="225">
        <v>4.9400000000000004</v>
      </c>
      <c r="D56" s="289" t="s">
        <v>24</v>
      </c>
      <c r="E56" s="345">
        <v>508</v>
      </c>
      <c r="F56" s="225">
        <f t="shared" si="13"/>
        <v>2509.52</v>
      </c>
      <c r="G56" s="288"/>
      <c r="H56" s="225">
        <f t="shared" si="14"/>
        <v>0</v>
      </c>
      <c r="I56" s="204">
        <f t="shared" si="17"/>
        <v>2509.52</v>
      </c>
      <c r="J56" s="189"/>
      <c r="K56" s="190"/>
      <c r="L56" s="190"/>
      <c r="M56" s="346"/>
      <c r="N56" s="190"/>
    </row>
    <row r="57" spans="1:14" s="191" customFormat="1" ht="25.15" customHeight="1" x14ac:dyDescent="0.7">
      <c r="A57" s="253">
        <v>6.8</v>
      </c>
      <c r="B57" s="182" t="s">
        <v>360</v>
      </c>
      <c r="C57" s="225">
        <v>3</v>
      </c>
      <c r="D57" s="289" t="s">
        <v>24</v>
      </c>
      <c r="E57" s="345">
        <v>1610</v>
      </c>
      <c r="F57" s="225">
        <f t="shared" si="13"/>
        <v>4830</v>
      </c>
      <c r="G57" s="345">
        <v>426</v>
      </c>
      <c r="H57" s="225">
        <f t="shared" si="14"/>
        <v>1278</v>
      </c>
      <c r="I57" s="204">
        <f t="shared" si="17"/>
        <v>6108</v>
      </c>
      <c r="J57" s="347"/>
      <c r="K57" s="190"/>
      <c r="L57" s="190"/>
      <c r="M57" s="346"/>
      <c r="N57" s="190"/>
    </row>
    <row r="58" spans="1:14" s="191" customFormat="1" x14ac:dyDescent="0.7">
      <c r="A58" s="253">
        <v>6.9</v>
      </c>
      <c r="B58" s="182" t="s">
        <v>304</v>
      </c>
      <c r="C58" s="186">
        <v>493</v>
      </c>
      <c r="D58" s="187" t="s">
        <v>41</v>
      </c>
      <c r="E58" s="188">
        <v>750</v>
      </c>
      <c r="F58" s="186">
        <f t="shared" si="13"/>
        <v>369750</v>
      </c>
      <c r="G58" s="188">
        <v>250</v>
      </c>
      <c r="H58" s="186">
        <f t="shared" ref="H58" si="18">C58*G58</f>
        <v>123250</v>
      </c>
      <c r="I58" s="186">
        <f t="shared" ref="I58" si="19">SUM(F58,H58)</f>
        <v>493000</v>
      </c>
      <c r="J58" s="189"/>
      <c r="K58" s="190"/>
      <c r="L58" s="190"/>
      <c r="M58" s="190"/>
      <c r="N58" s="190"/>
    </row>
    <row r="59" spans="1:14" s="170" customFormat="1" x14ac:dyDescent="0.7">
      <c r="A59" s="162"/>
      <c r="B59" s="163" t="s">
        <v>80</v>
      </c>
      <c r="C59" s="356"/>
      <c r="D59" s="164"/>
      <c r="E59" s="165"/>
      <c r="F59" s="166">
        <f>SUM(F50:F58)</f>
        <v>911355.29399999999</v>
      </c>
      <c r="G59" s="165"/>
      <c r="H59" s="166">
        <f>SUM(H50:H58)</f>
        <v>261442.508</v>
      </c>
      <c r="I59" s="166">
        <f>SUM(I50:I58)</f>
        <v>1172797.8019999999</v>
      </c>
      <c r="J59" s="167"/>
      <c r="K59" s="168"/>
      <c r="L59" s="168"/>
      <c r="M59" s="168"/>
      <c r="N59" s="168"/>
    </row>
    <row r="60" spans="1:14" s="181" customFormat="1" x14ac:dyDescent="0.7">
      <c r="A60" s="176">
        <v>7</v>
      </c>
      <c r="B60" s="131" t="s">
        <v>81</v>
      </c>
      <c r="C60" s="355"/>
      <c r="D60" s="132"/>
      <c r="E60" s="133"/>
      <c r="F60" s="134"/>
      <c r="G60" s="133"/>
      <c r="H60" s="134"/>
      <c r="I60" s="134"/>
      <c r="J60" s="135"/>
      <c r="K60" s="180"/>
      <c r="L60" s="180"/>
      <c r="M60" s="180"/>
      <c r="N60" s="180"/>
    </row>
    <row r="61" spans="1:14" s="181" customFormat="1" x14ac:dyDescent="0.7">
      <c r="A61" s="264">
        <v>7.1</v>
      </c>
      <c r="B61" s="152" t="s">
        <v>82</v>
      </c>
      <c r="C61" s="140">
        <v>494</v>
      </c>
      <c r="D61" s="138" t="s">
        <v>41</v>
      </c>
      <c r="E61" s="139"/>
      <c r="F61" s="140">
        <f>C61*E61</f>
        <v>0</v>
      </c>
      <c r="G61" s="139">
        <v>125</v>
      </c>
      <c r="H61" s="140">
        <f>C61*G61</f>
        <v>61750</v>
      </c>
      <c r="I61" s="140">
        <f>SUM(F61,H61)</f>
        <v>61750</v>
      </c>
      <c r="J61" s="183"/>
      <c r="K61" s="180"/>
      <c r="L61" s="180"/>
      <c r="M61" s="180"/>
      <c r="N61" s="180"/>
    </row>
    <row r="62" spans="1:14" x14ac:dyDescent="0.7">
      <c r="A62" s="264">
        <v>7.2</v>
      </c>
      <c r="B62" s="152" t="s">
        <v>362</v>
      </c>
      <c r="C62" s="140">
        <v>6</v>
      </c>
      <c r="D62" s="138" t="s">
        <v>23</v>
      </c>
      <c r="E62" s="139">
        <v>2750</v>
      </c>
      <c r="F62" s="140">
        <f t="shared" ref="F62:F63" si="20">C62*E62</f>
        <v>16500</v>
      </c>
      <c r="G62" s="188">
        <v>700</v>
      </c>
      <c r="H62" s="140">
        <f t="shared" ref="H62:H63" si="21">C62*G62</f>
        <v>4200</v>
      </c>
      <c r="I62" s="140">
        <f t="shared" ref="I62:I63" si="22">SUM(F62,H62)</f>
        <v>20700</v>
      </c>
      <c r="J62" s="153"/>
      <c r="K62" s="108"/>
      <c r="L62" s="108"/>
      <c r="M62" s="108"/>
      <c r="N62" s="108"/>
    </row>
    <row r="63" spans="1:14" x14ac:dyDescent="0.7">
      <c r="A63" s="264">
        <v>7.3</v>
      </c>
      <c r="B63" s="152" t="s">
        <v>363</v>
      </c>
      <c r="C63" s="140">
        <v>3</v>
      </c>
      <c r="D63" s="138" t="s">
        <v>23</v>
      </c>
      <c r="E63" s="139">
        <v>1125</v>
      </c>
      <c r="F63" s="140">
        <f t="shared" si="20"/>
        <v>3375</v>
      </c>
      <c r="G63" s="188">
        <v>700</v>
      </c>
      <c r="H63" s="140">
        <f t="shared" si="21"/>
        <v>2100</v>
      </c>
      <c r="I63" s="140">
        <f t="shared" si="22"/>
        <v>5475</v>
      </c>
      <c r="J63" s="153"/>
      <c r="K63" s="108"/>
      <c r="L63" s="108"/>
      <c r="M63" s="108"/>
      <c r="N63" s="108"/>
    </row>
    <row r="64" spans="1:14" x14ac:dyDescent="0.7">
      <c r="A64" s="264">
        <v>7.4</v>
      </c>
      <c r="B64" s="152" t="s">
        <v>368</v>
      </c>
      <c r="C64" s="140">
        <v>36</v>
      </c>
      <c r="D64" s="138" t="s">
        <v>41</v>
      </c>
      <c r="E64" s="139">
        <v>787</v>
      </c>
      <c r="F64" s="140">
        <f t="shared" ref="F64:F65" si="23">C64*E64</f>
        <v>28332</v>
      </c>
      <c r="G64" s="139"/>
      <c r="H64" s="140">
        <f t="shared" ref="H64:H65" si="24">C64*G64</f>
        <v>0</v>
      </c>
      <c r="I64" s="140">
        <f t="shared" ref="I64:I65" si="25">SUM(F64,H64)</f>
        <v>28332</v>
      </c>
      <c r="J64" s="153" t="s">
        <v>367</v>
      </c>
      <c r="K64" s="108"/>
      <c r="L64" s="108"/>
      <c r="M64" s="108"/>
      <c r="N64" s="108"/>
    </row>
    <row r="65" spans="1:14" x14ac:dyDescent="0.7">
      <c r="A65" s="264">
        <v>7.5</v>
      </c>
      <c r="B65" s="152" t="s">
        <v>369</v>
      </c>
      <c r="C65" s="140">
        <v>100</v>
      </c>
      <c r="D65" s="138" t="s">
        <v>41</v>
      </c>
      <c r="E65" s="139">
        <v>397</v>
      </c>
      <c r="F65" s="140">
        <f t="shared" si="23"/>
        <v>39700</v>
      </c>
      <c r="G65" s="139"/>
      <c r="H65" s="140">
        <f t="shared" si="24"/>
        <v>0</v>
      </c>
      <c r="I65" s="140">
        <f t="shared" si="25"/>
        <v>39700</v>
      </c>
      <c r="J65" s="153" t="s">
        <v>367</v>
      </c>
      <c r="K65" s="108"/>
      <c r="L65" s="108"/>
      <c r="M65" s="108"/>
      <c r="N65" s="108"/>
    </row>
    <row r="66" spans="1:14" x14ac:dyDescent="0.7">
      <c r="A66" s="264">
        <v>7.6</v>
      </c>
      <c r="B66" s="152" t="s">
        <v>83</v>
      </c>
      <c r="C66" s="140">
        <v>3</v>
      </c>
      <c r="D66" s="138" t="s">
        <v>84</v>
      </c>
      <c r="E66" s="139"/>
      <c r="F66" s="140">
        <f>C66*E66</f>
        <v>0</v>
      </c>
      <c r="G66" s="139">
        <v>3000</v>
      </c>
      <c r="H66" s="140">
        <f>C66*G66</f>
        <v>9000</v>
      </c>
      <c r="I66" s="140">
        <f>SUM(F66,H66)</f>
        <v>9000</v>
      </c>
      <c r="J66" s="153"/>
      <c r="K66" s="108"/>
      <c r="L66" s="108"/>
      <c r="M66" s="108"/>
      <c r="N66" s="108"/>
    </row>
    <row r="67" spans="1:14" s="170" customFormat="1" x14ac:dyDescent="0.7">
      <c r="A67" s="162"/>
      <c r="B67" s="163" t="s">
        <v>85</v>
      </c>
      <c r="C67" s="356"/>
      <c r="D67" s="164"/>
      <c r="E67" s="165"/>
      <c r="F67" s="166">
        <f>SUM(F61:F66)</f>
        <v>87907</v>
      </c>
      <c r="G67" s="165"/>
      <c r="H67" s="166">
        <f>SUM(H61:H66)</f>
        <v>77050</v>
      </c>
      <c r="I67" s="166">
        <f>SUM(I61:I66)</f>
        <v>164957</v>
      </c>
      <c r="J67" s="167"/>
      <c r="K67" s="168"/>
      <c r="L67" s="168"/>
      <c r="M67" s="168"/>
      <c r="N67" s="168"/>
    </row>
    <row r="68" spans="1:14" x14ac:dyDescent="0.7">
      <c r="A68" s="192">
        <v>8</v>
      </c>
      <c r="B68" s="291" t="s">
        <v>306</v>
      </c>
      <c r="C68" s="359"/>
      <c r="D68" s="193" t="s">
        <v>26</v>
      </c>
      <c r="E68" s="194"/>
      <c r="F68" s="195"/>
      <c r="G68" s="194"/>
      <c r="H68" s="195"/>
      <c r="I68" s="195"/>
      <c r="J68" s="196"/>
    </row>
    <row r="69" spans="1:14" s="191" customFormat="1" x14ac:dyDescent="0.7">
      <c r="A69" s="201">
        <v>8.1</v>
      </c>
      <c r="B69" s="244" t="s">
        <v>374</v>
      </c>
      <c r="C69" s="360"/>
      <c r="D69" s="241"/>
      <c r="E69" s="286"/>
      <c r="F69" s="287"/>
      <c r="G69" s="286"/>
      <c r="H69" s="243"/>
      <c r="I69" s="243"/>
      <c r="J69" s="202"/>
    </row>
    <row r="70" spans="1:14" s="191" customFormat="1" x14ac:dyDescent="0.7">
      <c r="A70" s="253" t="s">
        <v>162</v>
      </c>
      <c r="B70" s="283" t="s">
        <v>459</v>
      </c>
      <c r="C70" s="281">
        <v>2</v>
      </c>
      <c r="D70" s="187" t="s">
        <v>23</v>
      </c>
      <c r="E70" s="288">
        <v>70000</v>
      </c>
      <c r="F70" s="290">
        <f>C70*E70</f>
        <v>140000</v>
      </c>
      <c r="G70" s="288"/>
      <c r="H70" s="204">
        <f>C70*G70</f>
        <v>0</v>
      </c>
      <c r="I70" s="204">
        <f>F70+H70</f>
        <v>140000</v>
      </c>
      <c r="J70" s="202"/>
    </row>
    <row r="71" spans="1:14" s="191" customFormat="1" x14ac:dyDescent="0.7">
      <c r="A71" s="253" t="s">
        <v>163</v>
      </c>
      <c r="B71" s="283" t="s">
        <v>460</v>
      </c>
      <c r="C71" s="281">
        <v>8</v>
      </c>
      <c r="D71" s="187" t="s">
        <v>23</v>
      </c>
      <c r="E71" s="288">
        <v>117</v>
      </c>
      <c r="F71" s="290">
        <f>C71*E71</f>
        <v>936</v>
      </c>
      <c r="G71" s="288"/>
      <c r="H71" s="204">
        <f>C71*G71</f>
        <v>0</v>
      </c>
      <c r="I71" s="204">
        <f>F71+H71</f>
        <v>936</v>
      </c>
      <c r="J71" s="209"/>
    </row>
    <row r="72" spans="1:14" s="191" customFormat="1" x14ac:dyDescent="0.7">
      <c r="A72" s="253" t="s">
        <v>172</v>
      </c>
      <c r="B72" s="283" t="s">
        <v>461</v>
      </c>
      <c r="C72" s="281">
        <v>8</v>
      </c>
      <c r="D72" s="187" t="s">
        <v>23</v>
      </c>
      <c r="E72" s="188">
        <v>16100</v>
      </c>
      <c r="F72" s="204">
        <f t="shared" ref="F72" si="26">C72*E72</f>
        <v>128800</v>
      </c>
      <c r="G72" s="188"/>
      <c r="H72" s="204">
        <f t="shared" ref="H72" si="27">C72*G72</f>
        <v>0</v>
      </c>
      <c r="I72" s="204">
        <f t="shared" ref="I72" si="28">F72+H72</f>
        <v>128800</v>
      </c>
      <c r="J72" s="209"/>
    </row>
    <row r="73" spans="1:14" s="191" customFormat="1" x14ac:dyDescent="0.7">
      <c r="A73" s="253" t="s">
        <v>162</v>
      </c>
      <c r="B73" s="283" t="s">
        <v>307</v>
      </c>
      <c r="C73" s="281">
        <v>8</v>
      </c>
      <c r="D73" s="187" t="s">
        <v>23</v>
      </c>
      <c r="E73" s="188">
        <v>1350</v>
      </c>
      <c r="F73" s="204">
        <f t="shared" ref="F73:F84" si="29">C73*E73</f>
        <v>10800</v>
      </c>
      <c r="G73" s="188">
        <v>405</v>
      </c>
      <c r="H73" s="204">
        <f t="shared" ref="H73:H84" si="30">C73*G73</f>
        <v>3240</v>
      </c>
      <c r="I73" s="204">
        <f t="shared" ref="I73:I83" si="31">F73+H73</f>
        <v>14040</v>
      </c>
      <c r="J73" s="209"/>
    </row>
    <row r="74" spans="1:14" s="191" customFormat="1" x14ac:dyDescent="0.7">
      <c r="A74" s="253" t="s">
        <v>163</v>
      </c>
      <c r="B74" s="283" t="s">
        <v>164</v>
      </c>
      <c r="C74" s="281">
        <v>2</v>
      </c>
      <c r="D74" s="187" t="s">
        <v>236</v>
      </c>
      <c r="E74" s="188">
        <v>1074</v>
      </c>
      <c r="F74" s="204">
        <f t="shared" si="29"/>
        <v>2148</v>
      </c>
      <c r="G74" s="188">
        <v>660</v>
      </c>
      <c r="H74" s="204">
        <f t="shared" si="30"/>
        <v>1320</v>
      </c>
      <c r="I74" s="204">
        <f t="shared" si="31"/>
        <v>3468</v>
      </c>
      <c r="J74" s="209"/>
    </row>
    <row r="75" spans="1:14" s="191" customFormat="1" x14ac:dyDescent="0.7">
      <c r="A75" s="253" t="s">
        <v>172</v>
      </c>
      <c r="B75" s="283" t="s">
        <v>165</v>
      </c>
      <c r="C75" s="281">
        <v>8</v>
      </c>
      <c r="D75" s="187" t="s">
        <v>237</v>
      </c>
      <c r="E75" s="188">
        <v>150</v>
      </c>
      <c r="F75" s="204">
        <f t="shared" si="29"/>
        <v>1200</v>
      </c>
      <c r="G75" s="188">
        <v>45</v>
      </c>
      <c r="H75" s="204">
        <f t="shared" si="30"/>
        <v>360</v>
      </c>
      <c r="I75" s="204">
        <f t="shared" si="31"/>
        <v>1560</v>
      </c>
      <c r="J75" s="209"/>
    </row>
    <row r="76" spans="1:14" s="191" customFormat="1" x14ac:dyDescent="0.7">
      <c r="A76" s="253" t="s">
        <v>173</v>
      </c>
      <c r="B76" s="283" t="s">
        <v>308</v>
      </c>
      <c r="C76" s="281">
        <v>8</v>
      </c>
      <c r="D76" s="187" t="s">
        <v>23</v>
      </c>
      <c r="E76" s="188">
        <v>600</v>
      </c>
      <c r="F76" s="204">
        <f t="shared" si="29"/>
        <v>4800</v>
      </c>
      <c r="G76" s="188">
        <v>180</v>
      </c>
      <c r="H76" s="204">
        <f t="shared" si="30"/>
        <v>1440</v>
      </c>
      <c r="I76" s="204">
        <f t="shared" si="31"/>
        <v>6240</v>
      </c>
      <c r="J76" s="209"/>
    </row>
    <row r="77" spans="1:14" s="191" customFormat="1" x14ac:dyDescent="0.7">
      <c r="A77" s="253" t="s">
        <v>174</v>
      </c>
      <c r="B77" s="283" t="s">
        <v>167</v>
      </c>
      <c r="C77" s="281">
        <v>8</v>
      </c>
      <c r="D77" s="187" t="s">
        <v>23</v>
      </c>
      <c r="E77" s="188">
        <v>600</v>
      </c>
      <c r="F77" s="204">
        <f t="shared" si="29"/>
        <v>4800</v>
      </c>
      <c r="G77" s="188">
        <v>180</v>
      </c>
      <c r="H77" s="204">
        <f t="shared" si="30"/>
        <v>1440</v>
      </c>
      <c r="I77" s="204">
        <f t="shared" si="31"/>
        <v>6240</v>
      </c>
      <c r="J77" s="209"/>
    </row>
    <row r="78" spans="1:14" s="191" customFormat="1" x14ac:dyDescent="0.7">
      <c r="A78" s="253" t="s">
        <v>175</v>
      </c>
      <c r="B78" s="283" t="s">
        <v>168</v>
      </c>
      <c r="C78" s="281">
        <v>8</v>
      </c>
      <c r="D78" s="187" t="s">
        <v>237</v>
      </c>
      <c r="E78" s="188">
        <v>800</v>
      </c>
      <c r="F78" s="204">
        <f t="shared" si="29"/>
        <v>6400</v>
      </c>
      <c r="G78" s="188">
        <v>240</v>
      </c>
      <c r="H78" s="204">
        <f t="shared" si="30"/>
        <v>1920</v>
      </c>
      <c r="I78" s="204">
        <f t="shared" si="31"/>
        <v>8320</v>
      </c>
      <c r="J78" s="209"/>
    </row>
    <row r="79" spans="1:14" s="191" customFormat="1" x14ac:dyDescent="0.7">
      <c r="A79" s="253" t="s">
        <v>176</v>
      </c>
      <c r="B79" s="283" t="s">
        <v>169</v>
      </c>
      <c r="C79" s="281">
        <v>8</v>
      </c>
      <c r="D79" s="187" t="s">
        <v>237</v>
      </c>
      <c r="E79" s="188">
        <v>452</v>
      </c>
      <c r="F79" s="204">
        <f t="shared" si="29"/>
        <v>3616</v>
      </c>
      <c r="G79" s="188">
        <v>135</v>
      </c>
      <c r="H79" s="204">
        <f t="shared" si="30"/>
        <v>1080</v>
      </c>
      <c r="I79" s="204">
        <f t="shared" si="31"/>
        <v>4696</v>
      </c>
      <c r="J79" s="209"/>
    </row>
    <row r="80" spans="1:14" s="191" customFormat="1" x14ac:dyDescent="0.7">
      <c r="A80" s="253" t="s">
        <v>177</v>
      </c>
      <c r="B80" s="283" t="s">
        <v>170</v>
      </c>
      <c r="C80" s="281">
        <v>8</v>
      </c>
      <c r="D80" s="187" t="s">
        <v>237</v>
      </c>
      <c r="E80" s="188">
        <v>1500</v>
      </c>
      <c r="F80" s="204">
        <f t="shared" si="29"/>
        <v>12000</v>
      </c>
      <c r="G80" s="188">
        <v>450</v>
      </c>
      <c r="H80" s="204">
        <f t="shared" si="30"/>
        <v>3600</v>
      </c>
      <c r="I80" s="204">
        <f t="shared" si="31"/>
        <v>15600</v>
      </c>
      <c r="J80" s="209"/>
    </row>
    <row r="81" spans="1:11" s="191" customFormat="1" x14ac:dyDescent="0.7">
      <c r="A81" s="253" t="s">
        <v>178</v>
      </c>
      <c r="B81" s="283" t="s">
        <v>309</v>
      </c>
      <c r="C81" s="281">
        <v>444</v>
      </c>
      <c r="D81" s="187" t="s">
        <v>41</v>
      </c>
      <c r="E81" s="188">
        <v>126</v>
      </c>
      <c r="F81" s="290">
        <f t="shared" si="29"/>
        <v>55944</v>
      </c>
      <c r="G81" s="188">
        <v>100</v>
      </c>
      <c r="H81" s="204">
        <f t="shared" si="30"/>
        <v>44400</v>
      </c>
      <c r="I81" s="204">
        <f t="shared" si="31"/>
        <v>100344</v>
      </c>
      <c r="J81" s="209"/>
    </row>
    <row r="82" spans="1:11" s="191" customFormat="1" x14ac:dyDescent="0.7">
      <c r="A82" s="253" t="s">
        <v>179</v>
      </c>
      <c r="B82" s="283" t="s">
        <v>166</v>
      </c>
      <c r="C82" s="361">
        <f>444*0.3*0.2</f>
        <v>26.64</v>
      </c>
      <c r="D82" s="289" t="s">
        <v>24</v>
      </c>
      <c r="E82" s="188"/>
      <c r="F82" s="243">
        <f t="shared" si="29"/>
        <v>0</v>
      </c>
      <c r="G82" s="188">
        <v>120</v>
      </c>
      <c r="H82" s="292">
        <f t="shared" si="30"/>
        <v>3196.8</v>
      </c>
      <c r="I82" s="292">
        <f t="shared" si="31"/>
        <v>3196.8</v>
      </c>
      <c r="J82" s="202"/>
    </row>
    <row r="83" spans="1:11" s="191" customFormat="1" x14ac:dyDescent="0.7">
      <c r="A83" s="253" t="s">
        <v>180</v>
      </c>
      <c r="B83" s="283" t="s">
        <v>171</v>
      </c>
      <c r="C83" s="361">
        <v>1</v>
      </c>
      <c r="D83" s="289" t="s">
        <v>24</v>
      </c>
      <c r="E83" s="139">
        <v>2115</v>
      </c>
      <c r="F83" s="149">
        <f t="shared" si="29"/>
        <v>2115</v>
      </c>
      <c r="G83" s="139">
        <v>350</v>
      </c>
      <c r="H83" s="149">
        <f t="shared" si="30"/>
        <v>350</v>
      </c>
      <c r="I83" s="293">
        <f t="shared" si="31"/>
        <v>2465</v>
      </c>
      <c r="J83" s="202"/>
    </row>
    <row r="84" spans="1:11" s="191" customFormat="1" x14ac:dyDescent="0.7">
      <c r="A84" s="253" t="s">
        <v>181</v>
      </c>
      <c r="B84" s="277" t="s">
        <v>296</v>
      </c>
      <c r="C84" s="361">
        <v>30</v>
      </c>
      <c r="D84" s="138" t="s">
        <v>35</v>
      </c>
      <c r="E84" s="139">
        <v>22</v>
      </c>
      <c r="F84" s="149">
        <f t="shared" si="29"/>
        <v>660</v>
      </c>
      <c r="G84" s="139">
        <v>4.0999999999999996</v>
      </c>
      <c r="H84" s="149">
        <f t="shared" si="30"/>
        <v>122.99999999999999</v>
      </c>
      <c r="I84" s="149">
        <f t="shared" ref="I84" si="32">SUM(F84,H84)</f>
        <v>783</v>
      </c>
      <c r="J84" s="202"/>
    </row>
    <row r="85" spans="1:11" s="191" customFormat="1" x14ac:dyDescent="0.7">
      <c r="A85" s="247"/>
      <c r="B85" s="252" t="s">
        <v>232</v>
      </c>
      <c r="C85" s="362"/>
      <c r="D85" s="248"/>
      <c r="E85" s="249"/>
      <c r="F85" s="250">
        <f>SUM(F73:F84)</f>
        <v>104483</v>
      </c>
      <c r="G85" s="249"/>
      <c r="H85" s="250">
        <f>SUM(H73:H84)</f>
        <v>62469.8</v>
      </c>
      <c r="I85" s="250">
        <f>SUM(I70:I84)</f>
        <v>436688.8</v>
      </c>
      <c r="J85" s="251"/>
      <c r="K85" s="470"/>
    </row>
    <row r="86" spans="1:11" s="191" customFormat="1" x14ac:dyDescent="0.7">
      <c r="A86" s="246">
        <v>8.1999999999999993</v>
      </c>
      <c r="B86" s="245" t="s">
        <v>344</v>
      </c>
      <c r="C86" s="360"/>
      <c r="D86" s="241"/>
      <c r="E86" s="242"/>
      <c r="F86" s="243"/>
      <c r="G86" s="242"/>
      <c r="H86" s="243"/>
      <c r="I86" s="243"/>
      <c r="J86" s="344"/>
      <c r="K86" s="471" t="s">
        <v>361</v>
      </c>
    </row>
    <row r="87" spans="1:11" s="191" customFormat="1" x14ac:dyDescent="0.7">
      <c r="A87" s="253" t="s">
        <v>182</v>
      </c>
      <c r="B87" s="182" t="s">
        <v>310</v>
      </c>
      <c r="C87" s="363">
        <v>1</v>
      </c>
      <c r="D87" s="187" t="s">
        <v>23</v>
      </c>
      <c r="E87" s="288">
        <v>28050</v>
      </c>
      <c r="F87" s="290">
        <f>C87*E87</f>
        <v>28050</v>
      </c>
      <c r="G87" s="288"/>
      <c r="H87" s="290">
        <f>C87*G87</f>
        <v>0</v>
      </c>
      <c r="I87" s="290">
        <f>F87+H87</f>
        <v>28050</v>
      </c>
      <c r="J87" s="202"/>
      <c r="K87" s="472" t="e">
        <f>J86-#REF!</f>
        <v>#REF!</v>
      </c>
    </row>
    <row r="88" spans="1:11" s="191" customFormat="1" x14ac:dyDescent="0.7">
      <c r="A88" s="253" t="s">
        <v>186</v>
      </c>
      <c r="B88" s="182" t="s">
        <v>183</v>
      </c>
      <c r="C88" s="363">
        <v>1</v>
      </c>
      <c r="D88" s="187" t="s">
        <v>23</v>
      </c>
      <c r="E88" s="288">
        <v>450</v>
      </c>
      <c r="F88" s="290">
        <f t="shared" ref="F88:F93" si="33">C88*E88</f>
        <v>450</v>
      </c>
      <c r="G88" s="288"/>
      <c r="H88" s="290">
        <f t="shared" ref="H88:H93" si="34">C88*G88</f>
        <v>0</v>
      </c>
      <c r="I88" s="290">
        <f t="shared" ref="I88:I91" si="35">F88+H88</f>
        <v>450</v>
      </c>
      <c r="J88" s="202"/>
    </row>
    <row r="89" spans="1:11" s="191" customFormat="1" x14ac:dyDescent="0.7">
      <c r="A89" s="253" t="s">
        <v>187</v>
      </c>
      <c r="B89" s="182" t="s">
        <v>184</v>
      </c>
      <c r="C89" s="363">
        <v>1</v>
      </c>
      <c r="D89" s="187" t="s">
        <v>23</v>
      </c>
      <c r="E89" s="288">
        <v>2400</v>
      </c>
      <c r="F89" s="290">
        <f t="shared" si="33"/>
        <v>2400</v>
      </c>
      <c r="G89" s="288"/>
      <c r="H89" s="290">
        <f t="shared" si="34"/>
        <v>0</v>
      </c>
      <c r="I89" s="290">
        <f t="shared" si="35"/>
        <v>2400</v>
      </c>
      <c r="J89" s="202"/>
    </row>
    <row r="90" spans="1:11" s="191" customFormat="1" x14ac:dyDescent="0.7">
      <c r="A90" s="253" t="s">
        <v>188</v>
      </c>
      <c r="B90" s="182" t="s">
        <v>185</v>
      </c>
      <c r="C90" s="363">
        <v>1</v>
      </c>
      <c r="D90" s="187" t="s">
        <v>23</v>
      </c>
      <c r="E90" s="288">
        <v>22000</v>
      </c>
      <c r="F90" s="290">
        <f t="shared" si="33"/>
        <v>22000</v>
      </c>
      <c r="G90" s="288"/>
      <c r="H90" s="290">
        <f t="shared" si="34"/>
        <v>0</v>
      </c>
      <c r="I90" s="290">
        <f t="shared" si="35"/>
        <v>22000</v>
      </c>
      <c r="J90" s="202"/>
    </row>
    <row r="91" spans="1:11" s="191" customFormat="1" x14ac:dyDescent="0.7">
      <c r="A91" s="253" t="s">
        <v>189</v>
      </c>
      <c r="B91" s="182" t="s">
        <v>357</v>
      </c>
      <c r="C91" s="363">
        <v>1</v>
      </c>
      <c r="D91" s="187" t="s">
        <v>23</v>
      </c>
      <c r="E91" s="288"/>
      <c r="F91" s="290">
        <f t="shared" si="33"/>
        <v>0</v>
      </c>
      <c r="G91" s="288">
        <v>36945</v>
      </c>
      <c r="H91" s="290">
        <f t="shared" si="34"/>
        <v>36945</v>
      </c>
      <c r="I91" s="290">
        <f t="shared" si="35"/>
        <v>36945</v>
      </c>
      <c r="J91" s="202"/>
    </row>
    <row r="92" spans="1:11" s="210" customFormat="1" x14ac:dyDescent="0.7">
      <c r="A92" s="253" t="s">
        <v>341</v>
      </c>
      <c r="B92" s="182" t="s">
        <v>356</v>
      </c>
      <c r="C92" s="186">
        <v>1</v>
      </c>
      <c r="D92" s="187" t="s">
        <v>23</v>
      </c>
      <c r="E92" s="203">
        <v>125000</v>
      </c>
      <c r="F92" s="204">
        <f t="shared" si="33"/>
        <v>125000</v>
      </c>
      <c r="G92" s="203">
        <v>20000</v>
      </c>
      <c r="H92" s="204">
        <f t="shared" si="34"/>
        <v>20000</v>
      </c>
      <c r="I92" s="204">
        <f t="shared" ref="I92:I93" si="36">SUM(F92,H92)</f>
        <v>145000</v>
      </c>
      <c r="J92" s="202"/>
    </row>
    <row r="93" spans="1:11" s="210" customFormat="1" x14ac:dyDescent="0.7">
      <c r="A93" s="253" t="s">
        <v>342</v>
      </c>
      <c r="B93" s="182" t="s">
        <v>343</v>
      </c>
      <c r="C93" s="140">
        <v>1</v>
      </c>
      <c r="D93" s="138" t="s">
        <v>23</v>
      </c>
      <c r="E93" s="203">
        <v>8500</v>
      </c>
      <c r="F93" s="204">
        <f t="shared" si="33"/>
        <v>8500</v>
      </c>
      <c r="G93" s="203">
        <v>1500</v>
      </c>
      <c r="H93" s="204">
        <f t="shared" si="34"/>
        <v>1500</v>
      </c>
      <c r="I93" s="204">
        <f t="shared" si="36"/>
        <v>10000</v>
      </c>
      <c r="J93" s="202"/>
    </row>
    <row r="94" spans="1:11" s="191" customFormat="1" x14ac:dyDescent="0.7">
      <c r="A94" s="247"/>
      <c r="B94" s="252" t="s">
        <v>233</v>
      </c>
      <c r="C94" s="362"/>
      <c r="D94" s="248"/>
      <c r="E94" s="249"/>
      <c r="F94" s="250">
        <f>SUM(F87:F93)</f>
        <v>186400</v>
      </c>
      <c r="G94" s="249"/>
      <c r="H94" s="250">
        <f>SUM(H87:H93)</f>
        <v>58445</v>
      </c>
      <c r="I94" s="250">
        <f>SUM(I87:I93)</f>
        <v>244845</v>
      </c>
      <c r="J94" s="342"/>
    </row>
    <row r="95" spans="1:11" s="191" customFormat="1" x14ac:dyDescent="0.7">
      <c r="A95" s="246">
        <v>8.3000000000000007</v>
      </c>
      <c r="B95" s="245" t="s">
        <v>191</v>
      </c>
      <c r="C95" s="360"/>
      <c r="D95" s="241"/>
      <c r="E95" s="242"/>
      <c r="F95" s="243"/>
      <c r="G95" s="203"/>
      <c r="H95" s="243"/>
      <c r="I95" s="243"/>
      <c r="J95" s="202"/>
    </row>
    <row r="96" spans="1:11" s="191" customFormat="1" x14ac:dyDescent="0.7">
      <c r="A96" s="253" t="s">
        <v>190</v>
      </c>
      <c r="B96" s="182" t="s">
        <v>192</v>
      </c>
      <c r="C96" s="364">
        <v>3</v>
      </c>
      <c r="D96" s="187" t="s">
        <v>236</v>
      </c>
      <c r="E96" s="288">
        <v>2509.8000000000002</v>
      </c>
      <c r="F96" s="204">
        <f t="shared" ref="F96:F106" si="37">C96*E96</f>
        <v>7529.4000000000005</v>
      </c>
      <c r="G96" s="188">
        <v>1500</v>
      </c>
      <c r="H96" s="204">
        <f t="shared" ref="H96:H106" si="38">C96*G96</f>
        <v>4500</v>
      </c>
      <c r="I96" s="204">
        <f t="shared" ref="I96:I106" si="39">F96+H96</f>
        <v>12029.400000000001</v>
      </c>
      <c r="J96" s="202"/>
    </row>
    <row r="97" spans="1:10" s="191" customFormat="1" x14ac:dyDescent="0.7">
      <c r="A97" s="253" t="s">
        <v>203</v>
      </c>
      <c r="B97" s="182" t="s">
        <v>193</v>
      </c>
      <c r="C97" s="364">
        <v>1</v>
      </c>
      <c r="D97" s="187" t="s">
        <v>23</v>
      </c>
      <c r="E97" s="288">
        <v>5300</v>
      </c>
      <c r="F97" s="204">
        <f t="shared" si="37"/>
        <v>5300</v>
      </c>
      <c r="G97" s="188">
        <v>800</v>
      </c>
      <c r="H97" s="204">
        <f t="shared" si="38"/>
        <v>800</v>
      </c>
      <c r="I97" s="204">
        <f t="shared" si="39"/>
        <v>6100</v>
      </c>
      <c r="J97" s="202"/>
    </row>
    <row r="98" spans="1:10" s="191" customFormat="1" x14ac:dyDescent="0.7">
      <c r="A98" s="253" t="s">
        <v>204</v>
      </c>
      <c r="B98" s="182" t="s">
        <v>194</v>
      </c>
      <c r="C98" s="364">
        <v>1</v>
      </c>
      <c r="D98" s="187" t="s">
        <v>237</v>
      </c>
      <c r="E98" s="288">
        <v>190</v>
      </c>
      <c r="F98" s="204">
        <f t="shared" si="37"/>
        <v>190</v>
      </c>
      <c r="G98" s="188">
        <v>57</v>
      </c>
      <c r="H98" s="204">
        <f t="shared" si="38"/>
        <v>57</v>
      </c>
      <c r="I98" s="204">
        <f t="shared" si="39"/>
        <v>247</v>
      </c>
      <c r="J98" s="202"/>
    </row>
    <row r="99" spans="1:10" s="191" customFormat="1" x14ac:dyDescent="0.7">
      <c r="A99" s="253" t="s">
        <v>205</v>
      </c>
      <c r="B99" s="182" t="s">
        <v>195</v>
      </c>
      <c r="C99" s="364">
        <v>4</v>
      </c>
      <c r="D99" s="187" t="s">
        <v>237</v>
      </c>
      <c r="E99" s="288">
        <v>800</v>
      </c>
      <c r="F99" s="204">
        <f t="shared" si="37"/>
        <v>3200</v>
      </c>
      <c r="G99" s="188">
        <v>240</v>
      </c>
      <c r="H99" s="204">
        <f t="shared" si="38"/>
        <v>960</v>
      </c>
      <c r="I99" s="204">
        <f t="shared" si="39"/>
        <v>4160</v>
      </c>
      <c r="J99" s="202"/>
    </row>
    <row r="100" spans="1:10" s="191" customFormat="1" x14ac:dyDescent="0.7">
      <c r="A100" s="253" t="s">
        <v>206</v>
      </c>
      <c r="B100" s="182" t="s">
        <v>196</v>
      </c>
      <c r="C100" s="364">
        <v>1</v>
      </c>
      <c r="D100" s="187" t="s">
        <v>237</v>
      </c>
      <c r="E100" s="288">
        <v>700</v>
      </c>
      <c r="F100" s="204">
        <f t="shared" si="37"/>
        <v>700</v>
      </c>
      <c r="G100" s="188">
        <v>210</v>
      </c>
      <c r="H100" s="204">
        <f t="shared" si="38"/>
        <v>210</v>
      </c>
      <c r="I100" s="204">
        <f t="shared" si="39"/>
        <v>910</v>
      </c>
      <c r="J100" s="202"/>
    </row>
    <row r="101" spans="1:10" s="191" customFormat="1" x14ac:dyDescent="0.7">
      <c r="A101" s="253" t="s">
        <v>207</v>
      </c>
      <c r="B101" s="182" t="s">
        <v>197</v>
      </c>
      <c r="C101" s="364">
        <v>1</v>
      </c>
      <c r="D101" s="187" t="s">
        <v>237</v>
      </c>
      <c r="E101" s="288">
        <v>4000</v>
      </c>
      <c r="F101" s="204">
        <f t="shared" si="37"/>
        <v>4000</v>
      </c>
      <c r="G101" s="188">
        <v>800</v>
      </c>
      <c r="H101" s="204">
        <f t="shared" si="38"/>
        <v>800</v>
      </c>
      <c r="I101" s="204">
        <f t="shared" si="39"/>
        <v>4800</v>
      </c>
      <c r="J101" s="202"/>
    </row>
    <row r="102" spans="1:10" s="191" customFormat="1" x14ac:dyDescent="0.7">
      <c r="A102" s="253" t="s">
        <v>208</v>
      </c>
      <c r="B102" s="182" t="s">
        <v>198</v>
      </c>
      <c r="C102" s="364">
        <v>1</v>
      </c>
      <c r="D102" s="187" t="s">
        <v>237</v>
      </c>
      <c r="E102" s="288">
        <v>200</v>
      </c>
      <c r="F102" s="204">
        <f t="shared" si="37"/>
        <v>200</v>
      </c>
      <c r="G102" s="188">
        <v>60</v>
      </c>
      <c r="H102" s="204">
        <f t="shared" si="38"/>
        <v>60</v>
      </c>
      <c r="I102" s="204">
        <f t="shared" si="39"/>
        <v>260</v>
      </c>
      <c r="J102" s="202"/>
    </row>
    <row r="103" spans="1:10" s="191" customFormat="1" x14ac:dyDescent="0.7">
      <c r="A103" s="253" t="s">
        <v>209</v>
      </c>
      <c r="B103" s="182" t="s">
        <v>199</v>
      </c>
      <c r="C103" s="364">
        <v>3</v>
      </c>
      <c r="D103" s="187" t="s">
        <v>23</v>
      </c>
      <c r="E103" s="288">
        <v>1000</v>
      </c>
      <c r="F103" s="204">
        <f t="shared" si="37"/>
        <v>3000</v>
      </c>
      <c r="G103" s="188">
        <v>300</v>
      </c>
      <c r="H103" s="204">
        <f t="shared" si="38"/>
        <v>900</v>
      </c>
      <c r="I103" s="204">
        <f t="shared" si="39"/>
        <v>3900</v>
      </c>
      <c r="J103" s="202"/>
    </row>
    <row r="104" spans="1:10" s="191" customFormat="1" x14ac:dyDescent="0.7">
      <c r="A104" s="253" t="s">
        <v>210</v>
      </c>
      <c r="B104" s="182" t="s">
        <v>200</v>
      </c>
      <c r="C104" s="364">
        <v>1</v>
      </c>
      <c r="D104" s="187" t="s">
        <v>23</v>
      </c>
      <c r="E104" s="288">
        <v>3000</v>
      </c>
      <c r="F104" s="204">
        <f t="shared" si="37"/>
        <v>3000</v>
      </c>
      <c r="G104" s="188">
        <v>800</v>
      </c>
      <c r="H104" s="204">
        <f t="shared" si="38"/>
        <v>800</v>
      </c>
      <c r="I104" s="204">
        <f t="shared" si="39"/>
        <v>3800</v>
      </c>
      <c r="J104" s="202"/>
    </row>
    <row r="105" spans="1:10" s="191" customFormat="1" x14ac:dyDescent="0.7">
      <c r="A105" s="253" t="s">
        <v>211</v>
      </c>
      <c r="B105" s="182" t="s">
        <v>201</v>
      </c>
      <c r="C105" s="364">
        <v>1</v>
      </c>
      <c r="D105" s="187" t="s">
        <v>23</v>
      </c>
      <c r="E105" s="288">
        <v>1000</v>
      </c>
      <c r="F105" s="204">
        <f t="shared" si="37"/>
        <v>1000</v>
      </c>
      <c r="G105" s="188">
        <v>300</v>
      </c>
      <c r="H105" s="204">
        <f t="shared" si="38"/>
        <v>300</v>
      </c>
      <c r="I105" s="204">
        <f t="shared" si="39"/>
        <v>1300</v>
      </c>
      <c r="J105" s="202"/>
    </row>
    <row r="106" spans="1:10" s="191" customFormat="1" x14ac:dyDescent="0.7">
      <c r="A106" s="253" t="s">
        <v>212</v>
      </c>
      <c r="B106" s="182" t="s">
        <v>202</v>
      </c>
      <c r="C106" s="364">
        <v>1</v>
      </c>
      <c r="D106" s="187" t="s">
        <v>42</v>
      </c>
      <c r="E106" s="288">
        <v>3120</v>
      </c>
      <c r="F106" s="204">
        <f t="shared" si="37"/>
        <v>3120</v>
      </c>
      <c r="G106" s="188">
        <v>936</v>
      </c>
      <c r="H106" s="204">
        <f t="shared" si="38"/>
        <v>936</v>
      </c>
      <c r="I106" s="204">
        <f t="shared" si="39"/>
        <v>4056</v>
      </c>
      <c r="J106" s="202"/>
    </row>
    <row r="107" spans="1:10" s="191" customFormat="1" x14ac:dyDescent="0.7">
      <c r="A107" s="247"/>
      <c r="B107" s="252" t="s">
        <v>234</v>
      </c>
      <c r="C107" s="362"/>
      <c r="D107" s="248"/>
      <c r="E107" s="249"/>
      <c r="F107" s="250">
        <f>SUM(F96:F106)</f>
        <v>31239.4</v>
      </c>
      <c r="G107" s="249"/>
      <c r="H107" s="250">
        <f>SUM(H96:H106)</f>
        <v>10323</v>
      </c>
      <c r="I107" s="250">
        <f>SUM(I96:I106)</f>
        <v>41562.400000000001</v>
      </c>
      <c r="J107" s="251"/>
    </row>
    <row r="108" spans="1:10" s="191" customFormat="1" x14ac:dyDescent="0.7">
      <c r="A108" s="246">
        <v>8.4</v>
      </c>
      <c r="B108" s="245" t="s">
        <v>213</v>
      </c>
      <c r="C108" s="360"/>
      <c r="D108" s="241"/>
      <c r="E108" s="242"/>
      <c r="F108" s="243"/>
      <c r="G108" s="242"/>
      <c r="H108" s="243"/>
      <c r="I108" s="243"/>
      <c r="J108" s="202"/>
    </row>
    <row r="109" spans="1:10" s="191" customFormat="1" x14ac:dyDescent="0.7">
      <c r="A109" s="253" t="s">
        <v>214</v>
      </c>
      <c r="B109" s="283" t="s">
        <v>215</v>
      </c>
      <c r="C109" s="364">
        <v>1</v>
      </c>
      <c r="D109" s="187" t="s">
        <v>236</v>
      </c>
      <c r="E109" s="288">
        <v>2509.8000000000002</v>
      </c>
      <c r="F109" s="204">
        <f t="shared" ref="F109:F118" si="40">C109*E109</f>
        <v>2509.8000000000002</v>
      </c>
      <c r="G109" s="188">
        <v>1500</v>
      </c>
      <c r="H109" s="204">
        <f t="shared" ref="H109:H118" si="41">C109*G109</f>
        <v>1500</v>
      </c>
      <c r="I109" s="204">
        <f t="shared" ref="I109:I118" si="42">F109+H109</f>
        <v>4009.8</v>
      </c>
      <c r="J109" s="202"/>
    </row>
    <row r="110" spans="1:10" s="191" customFormat="1" x14ac:dyDescent="0.7">
      <c r="A110" s="253" t="s">
        <v>223</v>
      </c>
      <c r="B110" s="283" t="s">
        <v>216</v>
      </c>
      <c r="C110" s="364">
        <v>1</v>
      </c>
      <c r="D110" s="187" t="s">
        <v>237</v>
      </c>
      <c r="E110" s="288">
        <v>560</v>
      </c>
      <c r="F110" s="204">
        <f t="shared" si="40"/>
        <v>560</v>
      </c>
      <c r="G110" s="188">
        <v>168</v>
      </c>
      <c r="H110" s="204">
        <f t="shared" si="41"/>
        <v>168</v>
      </c>
      <c r="I110" s="204">
        <f t="shared" si="42"/>
        <v>728</v>
      </c>
      <c r="J110" s="202"/>
    </row>
    <row r="111" spans="1:10" s="191" customFormat="1" x14ac:dyDescent="0.7">
      <c r="A111" s="253" t="s">
        <v>224</v>
      </c>
      <c r="B111" s="283" t="s">
        <v>199</v>
      </c>
      <c r="C111" s="364">
        <v>3</v>
      </c>
      <c r="D111" s="187" t="s">
        <v>23</v>
      </c>
      <c r="E111" s="288">
        <v>1000</v>
      </c>
      <c r="F111" s="204">
        <f t="shared" si="40"/>
        <v>3000</v>
      </c>
      <c r="G111" s="188">
        <v>300</v>
      </c>
      <c r="H111" s="204">
        <f t="shared" si="41"/>
        <v>900</v>
      </c>
      <c r="I111" s="204">
        <f t="shared" si="42"/>
        <v>3900</v>
      </c>
      <c r="J111" s="202"/>
    </row>
    <row r="112" spans="1:10" s="191" customFormat="1" x14ac:dyDescent="0.7">
      <c r="A112" s="253" t="s">
        <v>225</v>
      </c>
      <c r="B112" s="283" t="s">
        <v>217</v>
      </c>
      <c r="C112" s="364">
        <v>1</v>
      </c>
      <c r="D112" s="187" t="s">
        <v>237</v>
      </c>
      <c r="E112" s="288">
        <v>4000</v>
      </c>
      <c r="F112" s="204">
        <f t="shared" si="40"/>
        <v>4000</v>
      </c>
      <c r="G112" s="188">
        <v>800</v>
      </c>
      <c r="H112" s="204">
        <f t="shared" si="41"/>
        <v>800</v>
      </c>
      <c r="I112" s="204">
        <f t="shared" si="42"/>
        <v>4800</v>
      </c>
      <c r="J112" s="202"/>
    </row>
    <row r="113" spans="1:10" s="191" customFormat="1" x14ac:dyDescent="0.7">
      <c r="A113" s="253" t="s">
        <v>226</v>
      </c>
      <c r="B113" s="283" t="s">
        <v>218</v>
      </c>
      <c r="C113" s="364">
        <v>1</v>
      </c>
      <c r="D113" s="187" t="s">
        <v>237</v>
      </c>
      <c r="E113" s="288">
        <v>6000</v>
      </c>
      <c r="F113" s="204">
        <f t="shared" si="40"/>
        <v>6000</v>
      </c>
      <c r="G113" s="188">
        <v>800</v>
      </c>
      <c r="H113" s="204">
        <f t="shared" si="41"/>
        <v>800</v>
      </c>
      <c r="I113" s="204">
        <f t="shared" si="42"/>
        <v>6800</v>
      </c>
      <c r="J113" s="202"/>
    </row>
    <row r="114" spans="1:10" s="191" customFormat="1" x14ac:dyDescent="0.7">
      <c r="A114" s="253" t="s">
        <v>227</v>
      </c>
      <c r="B114" s="283" t="s">
        <v>219</v>
      </c>
      <c r="C114" s="364">
        <v>2</v>
      </c>
      <c r="D114" s="187" t="s">
        <v>237</v>
      </c>
      <c r="E114" s="288">
        <v>600</v>
      </c>
      <c r="F114" s="204">
        <f t="shared" si="40"/>
        <v>1200</v>
      </c>
      <c r="G114" s="188">
        <v>180</v>
      </c>
      <c r="H114" s="204">
        <f t="shared" si="41"/>
        <v>360</v>
      </c>
      <c r="I114" s="204">
        <f t="shared" si="42"/>
        <v>1560</v>
      </c>
      <c r="J114" s="202"/>
    </row>
    <row r="115" spans="1:10" s="191" customFormat="1" x14ac:dyDescent="0.7">
      <c r="A115" s="253" t="s">
        <v>228</v>
      </c>
      <c r="B115" s="283" t="s">
        <v>220</v>
      </c>
      <c r="C115" s="364">
        <v>1</v>
      </c>
      <c r="D115" s="187" t="s">
        <v>23</v>
      </c>
      <c r="E115" s="288">
        <v>3000</v>
      </c>
      <c r="F115" s="204">
        <f t="shared" si="40"/>
        <v>3000</v>
      </c>
      <c r="G115" s="188">
        <v>800</v>
      </c>
      <c r="H115" s="204">
        <f t="shared" si="41"/>
        <v>800</v>
      </c>
      <c r="I115" s="204">
        <f t="shared" si="42"/>
        <v>3800</v>
      </c>
      <c r="J115" s="202"/>
    </row>
    <row r="116" spans="1:10" s="191" customFormat="1" x14ac:dyDescent="0.7">
      <c r="A116" s="253" t="s">
        <v>229</v>
      </c>
      <c r="B116" s="283" t="s">
        <v>221</v>
      </c>
      <c r="C116" s="364">
        <v>1</v>
      </c>
      <c r="D116" s="187" t="s">
        <v>237</v>
      </c>
      <c r="E116" s="288">
        <v>2100</v>
      </c>
      <c r="F116" s="204">
        <f t="shared" si="40"/>
        <v>2100</v>
      </c>
      <c r="G116" s="188">
        <v>800</v>
      </c>
      <c r="H116" s="204">
        <f t="shared" si="41"/>
        <v>800</v>
      </c>
      <c r="I116" s="204">
        <f t="shared" si="42"/>
        <v>2900</v>
      </c>
      <c r="J116" s="202"/>
    </row>
    <row r="117" spans="1:10" s="191" customFormat="1" x14ac:dyDescent="0.7">
      <c r="A117" s="253" t="s">
        <v>230</v>
      </c>
      <c r="B117" s="283" t="s">
        <v>222</v>
      </c>
      <c r="C117" s="364">
        <v>1</v>
      </c>
      <c r="D117" s="187" t="s">
        <v>23</v>
      </c>
      <c r="E117" s="288">
        <v>1400</v>
      </c>
      <c r="F117" s="204">
        <f t="shared" si="40"/>
        <v>1400</v>
      </c>
      <c r="G117" s="188">
        <v>420</v>
      </c>
      <c r="H117" s="204">
        <f t="shared" si="41"/>
        <v>420</v>
      </c>
      <c r="I117" s="204">
        <f t="shared" si="42"/>
        <v>1820</v>
      </c>
      <c r="J117" s="202"/>
    </row>
    <row r="118" spans="1:10" s="191" customFormat="1" x14ac:dyDescent="0.7">
      <c r="A118" s="253" t="s">
        <v>231</v>
      </c>
      <c r="B118" s="283" t="s">
        <v>202</v>
      </c>
      <c r="C118" s="364">
        <v>1</v>
      </c>
      <c r="D118" s="187" t="s">
        <v>23</v>
      </c>
      <c r="E118" s="288">
        <v>1040</v>
      </c>
      <c r="F118" s="204">
        <f t="shared" si="40"/>
        <v>1040</v>
      </c>
      <c r="G118" s="188">
        <v>312</v>
      </c>
      <c r="H118" s="204">
        <f t="shared" si="41"/>
        <v>312</v>
      </c>
      <c r="I118" s="204">
        <f t="shared" si="42"/>
        <v>1352</v>
      </c>
      <c r="J118" s="202"/>
    </row>
    <row r="119" spans="1:10" s="191" customFormat="1" x14ac:dyDescent="0.7">
      <c r="A119" s="247"/>
      <c r="B119" s="252" t="s">
        <v>235</v>
      </c>
      <c r="C119" s="362"/>
      <c r="D119" s="248"/>
      <c r="E119" s="249"/>
      <c r="F119" s="250">
        <f>SUM(F109:F118)</f>
        <v>24809.8</v>
      </c>
      <c r="G119" s="249"/>
      <c r="H119" s="250">
        <f>SUM(H109:H118)</f>
        <v>6860</v>
      </c>
      <c r="I119" s="250">
        <f>SUM(I109:I118)</f>
        <v>31669.8</v>
      </c>
      <c r="J119" s="251"/>
    </row>
    <row r="120" spans="1:10" s="191" customFormat="1" x14ac:dyDescent="0.7">
      <c r="A120" s="201">
        <v>8.9</v>
      </c>
      <c r="B120" s="224" t="s">
        <v>365</v>
      </c>
      <c r="C120" s="140"/>
      <c r="D120" s="187"/>
      <c r="E120" s="203"/>
      <c r="F120" s="204"/>
      <c r="G120" s="203"/>
      <c r="H120" s="204"/>
      <c r="I120" s="204"/>
      <c r="J120" s="202"/>
    </row>
    <row r="121" spans="1:10" s="191" customFormat="1" x14ac:dyDescent="0.7">
      <c r="A121" s="201"/>
      <c r="B121" s="224" t="s">
        <v>364</v>
      </c>
      <c r="C121" s="140"/>
      <c r="D121" s="187"/>
      <c r="E121" s="203"/>
      <c r="F121" s="204"/>
      <c r="G121" s="203"/>
      <c r="H121" s="204"/>
      <c r="I121" s="204"/>
      <c r="J121" s="202"/>
    </row>
    <row r="122" spans="1:10" s="191" customFormat="1" x14ac:dyDescent="0.7">
      <c r="A122" s="266" t="s">
        <v>242</v>
      </c>
      <c r="B122" s="182" t="s">
        <v>248</v>
      </c>
      <c r="C122" s="140">
        <v>1</v>
      </c>
      <c r="D122" s="138" t="s">
        <v>23</v>
      </c>
      <c r="E122" s="294">
        <v>2760</v>
      </c>
      <c r="F122" s="198">
        <f t="shared" ref="F122:F139" si="43">C122*E122</f>
        <v>2760</v>
      </c>
      <c r="G122" s="197">
        <v>2000</v>
      </c>
      <c r="H122" s="198">
        <f t="shared" ref="H122:H139" si="44">C122*G122</f>
        <v>2000</v>
      </c>
      <c r="I122" s="198">
        <f t="shared" ref="I122:I139" si="45">SUM(F122,H122)</f>
        <v>4760</v>
      </c>
      <c r="J122" s="202"/>
    </row>
    <row r="123" spans="1:10" s="191" customFormat="1" x14ac:dyDescent="0.7">
      <c r="A123" s="266" t="s">
        <v>243</v>
      </c>
      <c r="B123" s="182" t="s">
        <v>249</v>
      </c>
      <c r="C123" s="222">
        <v>3</v>
      </c>
      <c r="D123" s="138" t="s">
        <v>23</v>
      </c>
      <c r="E123" s="294">
        <v>5800</v>
      </c>
      <c r="F123" s="198">
        <f t="shared" si="43"/>
        <v>17400</v>
      </c>
      <c r="G123" s="197">
        <v>1000</v>
      </c>
      <c r="H123" s="198">
        <f t="shared" si="44"/>
        <v>3000</v>
      </c>
      <c r="I123" s="198">
        <f t="shared" si="45"/>
        <v>20400</v>
      </c>
      <c r="J123" s="202"/>
    </row>
    <row r="124" spans="1:10" s="191" customFormat="1" x14ac:dyDescent="0.7">
      <c r="A124" s="266" t="s">
        <v>244</v>
      </c>
      <c r="B124" s="182" t="s">
        <v>250</v>
      </c>
      <c r="C124" s="140">
        <v>1</v>
      </c>
      <c r="D124" s="138" t="s">
        <v>55</v>
      </c>
      <c r="E124" s="294">
        <v>2000</v>
      </c>
      <c r="F124" s="198">
        <f t="shared" si="43"/>
        <v>2000</v>
      </c>
      <c r="G124" s="197">
        <v>700</v>
      </c>
      <c r="H124" s="198">
        <f t="shared" si="44"/>
        <v>700</v>
      </c>
      <c r="I124" s="198">
        <f t="shared" si="45"/>
        <v>2700</v>
      </c>
      <c r="J124" s="202"/>
    </row>
    <row r="125" spans="1:10" s="191" customFormat="1" x14ac:dyDescent="0.7">
      <c r="A125" s="266" t="s">
        <v>245</v>
      </c>
      <c r="B125" s="182" t="s">
        <v>251</v>
      </c>
      <c r="C125" s="140">
        <v>1</v>
      </c>
      <c r="D125" s="138" t="s">
        <v>55</v>
      </c>
      <c r="E125" s="294">
        <v>2500</v>
      </c>
      <c r="F125" s="198">
        <f t="shared" si="43"/>
        <v>2500</v>
      </c>
      <c r="G125" s="197">
        <v>700</v>
      </c>
      <c r="H125" s="198">
        <f t="shared" si="44"/>
        <v>700</v>
      </c>
      <c r="I125" s="198">
        <f t="shared" si="45"/>
        <v>3200</v>
      </c>
      <c r="J125" s="202"/>
    </row>
    <row r="126" spans="1:10" s="191" customFormat="1" x14ac:dyDescent="0.7">
      <c r="A126" s="266" t="s">
        <v>246</v>
      </c>
      <c r="B126" s="182" t="s">
        <v>252</v>
      </c>
      <c r="C126" s="140">
        <v>1</v>
      </c>
      <c r="D126" s="138" t="s">
        <v>23</v>
      </c>
      <c r="E126" s="294">
        <v>5000</v>
      </c>
      <c r="F126" s="198">
        <f t="shared" si="43"/>
        <v>5000</v>
      </c>
      <c r="G126" s="197">
        <v>1000</v>
      </c>
      <c r="H126" s="198">
        <f t="shared" si="44"/>
        <v>1000</v>
      </c>
      <c r="I126" s="198">
        <f t="shared" si="45"/>
        <v>6000</v>
      </c>
      <c r="J126" s="202"/>
    </row>
    <row r="127" spans="1:10" s="191" customFormat="1" x14ac:dyDescent="0.7">
      <c r="A127" s="266" t="s">
        <v>247</v>
      </c>
      <c r="B127" s="182" t="s">
        <v>253</v>
      </c>
      <c r="C127" s="140">
        <v>50</v>
      </c>
      <c r="D127" s="138" t="s">
        <v>41</v>
      </c>
      <c r="E127" s="294">
        <v>109.7</v>
      </c>
      <c r="F127" s="198">
        <f t="shared" si="43"/>
        <v>5485</v>
      </c>
      <c r="G127" s="197">
        <v>20</v>
      </c>
      <c r="H127" s="198">
        <f t="shared" si="44"/>
        <v>1000</v>
      </c>
      <c r="I127" s="198">
        <f t="shared" si="45"/>
        <v>6485</v>
      </c>
      <c r="J127" s="202"/>
    </row>
    <row r="128" spans="1:10" s="191" customFormat="1" x14ac:dyDescent="0.7">
      <c r="A128" s="266" t="s">
        <v>312</v>
      </c>
      <c r="B128" s="182" t="s">
        <v>311</v>
      </c>
      <c r="C128" s="140">
        <v>1</v>
      </c>
      <c r="D128" s="138" t="s">
        <v>23</v>
      </c>
      <c r="E128" s="294">
        <v>8500</v>
      </c>
      <c r="F128" s="198">
        <f t="shared" si="43"/>
        <v>8500</v>
      </c>
      <c r="G128" s="197"/>
      <c r="H128" s="198">
        <f t="shared" si="44"/>
        <v>0</v>
      </c>
      <c r="I128" s="198">
        <f t="shared" si="45"/>
        <v>8500</v>
      </c>
      <c r="J128" s="202"/>
    </row>
    <row r="129" spans="1:13" s="191" customFormat="1" x14ac:dyDescent="0.7">
      <c r="A129" s="254"/>
      <c r="B129" s="259" t="s">
        <v>238</v>
      </c>
      <c r="C129" s="255"/>
      <c r="D129" s="256"/>
      <c r="E129" s="257"/>
      <c r="F129" s="250">
        <f>SUM(F122:F128)</f>
        <v>43645</v>
      </c>
      <c r="G129" s="257"/>
      <c r="H129" s="250">
        <f>SUM(H122:H128)</f>
        <v>8400</v>
      </c>
      <c r="I129" s="250">
        <f>SUM(I122:I128)</f>
        <v>52045</v>
      </c>
      <c r="J129" s="251"/>
    </row>
    <row r="130" spans="1:13" s="191" customFormat="1" x14ac:dyDescent="0.7">
      <c r="A130" s="267">
        <v>8.1</v>
      </c>
      <c r="B130" s="224" t="s">
        <v>337</v>
      </c>
      <c r="C130" s="140"/>
      <c r="D130" s="138"/>
      <c r="E130" s="197"/>
      <c r="F130" s="198"/>
      <c r="G130" s="197"/>
      <c r="H130" s="198"/>
      <c r="I130" s="198"/>
      <c r="J130" s="202"/>
    </row>
    <row r="131" spans="1:13" s="191" customFormat="1" x14ac:dyDescent="0.7">
      <c r="A131" s="266" t="s">
        <v>254</v>
      </c>
      <c r="B131" s="182" t="s">
        <v>339</v>
      </c>
      <c r="C131" s="140">
        <v>2</v>
      </c>
      <c r="D131" s="138" t="s">
        <v>23</v>
      </c>
      <c r="E131" s="294">
        <v>150000</v>
      </c>
      <c r="F131" s="198">
        <f t="shared" si="43"/>
        <v>300000</v>
      </c>
      <c r="G131" s="197"/>
      <c r="H131" s="198"/>
      <c r="I131" s="198">
        <f t="shared" si="45"/>
        <v>300000</v>
      </c>
      <c r="J131" s="202"/>
    </row>
    <row r="132" spans="1:13" s="191" customFormat="1" x14ac:dyDescent="0.7">
      <c r="A132" s="266" t="s">
        <v>255</v>
      </c>
      <c r="B132" s="182" t="s">
        <v>258</v>
      </c>
      <c r="C132" s="222">
        <v>207</v>
      </c>
      <c r="D132" s="138" t="s">
        <v>24</v>
      </c>
      <c r="E132" s="294"/>
      <c r="F132" s="332">
        <f t="shared" si="43"/>
        <v>0</v>
      </c>
      <c r="G132" s="294">
        <v>18</v>
      </c>
      <c r="H132" s="198">
        <f t="shared" si="44"/>
        <v>3726</v>
      </c>
      <c r="I132" s="198">
        <f t="shared" si="45"/>
        <v>3726</v>
      </c>
      <c r="J132" s="202"/>
    </row>
    <row r="133" spans="1:13" s="191" customFormat="1" x14ac:dyDescent="0.7">
      <c r="A133" s="266" t="s">
        <v>256</v>
      </c>
      <c r="B133" s="182" t="s">
        <v>340</v>
      </c>
      <c r="C133" s="222">
        <f>+(7.7*7*1.25)-30</f>
        <v>37.375</v>
      </c>
      <c r="D133" s="138" t="s">
        <v>24</v>
      </c>
      <c r="E133" s="294">
        <v>410</v>
      </c>
      <c r="F133" s="332">
        <f t="shared" si="43"/>
        <v>15323.75</v>
      </c>
      <c r="G133" s="294">
        <v>99</v>
      </c>
      <c r="H133" s="198">
        <f t="shared" si="44"/>
        <v>3700.125</v>
      </c>
      <c r="I133" s="198">
        <f t="shared" si="45"/>
        <v>19023.875</v>
      </c>
      <c r="J133" s="202"/>
    </row>
    <row r="134" spans="1:13" s="191" customFormat="1" x14ac:dyDescent="0.7">
      <c r="A134" s="266" t="s">
        <v>345</v>
      </c>
      <c r="B134" s="182" t="s">
        <v>334</v>
      </c>
      <c r="C134" s="140">
        <f>7.7*7*0.05*1.25</f>
        <v>3.3687500000000004</v>
      </c>
      <c r="D134" s="138" t="s">
        <v>24</v>
      </c>
      <c r="E134" s="294">
        <v>495</v>
      </c>
      <c r="F134" s="332">
        <f t="shared" si="43"/>
        <v>1667.5312500000002</v>
      </c>
      <c r="G134" s="294">
        <v>104</v>
      </c>
      <c r="H134" s="198">
        <f t="shared" si="44"/>
        <v>350.35</v>
      </c>
      <c r="I134" s="198">
        <f t="shared" si="45"/>
        <v>2017.8812500000004</v>
      </c>
      <c r="J134" s="202"/>
    </row>
    <row r="135" spans="1:13" s="191" customFormat="1" x14ac:dyDescent="0.7">
      <c r="A135" s="266" t="s">
        <v>346</v>
      </c>
      <c r="B135" s="182" t="s">
        <v>259</v>
      </c>
      <c r="C135" s="140">
        <f>7.7*7*0.2</f>
        <v>10.780000000000001</v>
      </c>
      <c r="D135" s="138" t="s">
        <v>24</v>
      </c>
      <c r="E135" s="294">
        <v>2151.87</v>
      </c>
      <c r="F135" s="198">
        <f t="shared" si="43"/>
        <v>23197.158600000002</v>
      </c>
      <c r="G135" s="294">
        <v>419</v>
      </c>
      <c r="H135" s="198">
        <f t="shared" si="44"/>
        <v>4516.8200000000006</v>
      </c>
      <c r="I135" s="198">
        <f t="shared" si="45"/>
        <v>27713.978600000002</v>
      </c>
      <c r="J135" s="202"/>
    </row>
    <row r="136" spans="1:13" s="191" customFormat="1" x14ac:dyDescent="0.7">
      <c r="A136" s="266" t="s">
        <v>347</v>
      </c>
      <c r="B136" s="182" t="s">
        <v>260</v>
      </c>
      <c r="C136" s="222">
        <f>77*7*0.888*1.09*2</f>
        <v>1043.41776</v>
      </c>
      <c r="D136" s="138" t="s">
        <v>35</v>
      </c>
      <c r="E136" s="294">
        <v>22.1</v>
      </c>
      <c r="F136" s="295">
        <f t="shared" si="43"/>
        <v>23059.532496000003</v>
      </c>
      <c r="G136" s="294">
        <v>3.6</v>
      </c>
      <c r="H136" s="295">
        <f t="shared" si="44"/>
        <v>3756.3039360000002</v>
      </c>
      <c r="I136" s="295">
        <f t="shared" si="45"/>
        <v>26815.836432000004</v>
      </c>
      <c r="J136" s="202"/>
    </row>
    <row r="137" spans="1:13" s="191" customFormat="1" x14ac:dyDescent="0.7">
      <c r="A137" s="266" t="s">
        <v>348</v>
      </c>
      <c r="B137" s="182" t="s">
        <v>261</v>
      </c>
      <c r="C137" s="140">
        <f>30*C136/1000</f>
        <v>31.302532800000002</v>
      </c>
      <c r="D137" s="138" t="s">
        <v>35</v>
      </c>
      <c r="E137" s="298">
        <v>21.58</v>
      </c>
      <c r="F137" s="284">
        <f t="shared" si="43"/>
        <v>675.50865782400001</v>
      </c>
      <c r="G137" s="298">
        <v>3.6</v>
      </c>
      <c r="H137" s="284">
        <f t="shared" si="44"/>
        <v>112.68911808000001</v>
      </c>
      <c r="I137" s="198">
        <f t="shared" si="45"/>
        <v>788.19777590400008</v>
      </c>
      <c r="J137" s="202"/>
    </row>
    <row r="138" spans="1:13" s="191" customFormat="1" x14ac:dyDescent="0.7">
      <c r="A138" s="266" t="s">
        <v>349</v>
      </c>
      <c r="B138" s="182" t="s">
        <v>335</v>
      </c>
      <c r="C138" s="140">
        <f>+(7.7+7.7+14)*0.2</f>
        <v>5.88</v>
      </c>
      <c r="D138" s="138" t="s">
        <v>25</v>
      </c>
      <c r="E138" s="298">
        <v>451.4</v>
      </c>
      <c r="F138" s="284">
        <f t="shared" si="43"/>
        <v>2654.232</v>
      </c>
      <c r="G138" s="298">
        <v>133</v>
      </c>
      <c r="H138" s="284">
        <f t="shared" si="44"/>
        <v>782.04</v>
      </c>
      <c r="I138" s="198">
        <f t="shared" si="45"/>
        <v>3436.2719999999999</v>
      </c>
      <c r="J138" s="202"/>
    </row>
    <row r="139" spans="1:13" s="191" customFormat="1" x14ac:dyDescent="0.7">
      <c r="A139" s="266" t="s">
        <v>350</v>
      </c>
      <c r="B139" s="182" t="s">
        <v>336</v>
      </c>
      <c r="C139" s="140">
        <v>8</v>
      </c>
      <c r="D139" s="138" t="s">
        <v>84</v>
      </c>
      <c r="E139" s="298">
        <v>250</v>
      </c>
      <c r="F139" s="284">
        <f t="shared" si="43"/>
        <v>2000</v>
      </c>
      <c r="G139" s="298"/>
      <c r="H139" s="284">
        <f t="shared" si="44"/>
        <v>0</v>
      </c>
      <c r="I139" s="198">
        <f t="shared" si="45"/>
        <v>2000</v>
      </c>
      <c r="J139" s="202"/>
    </row>
    <row r="140" spans="1:13" s="191" customFormat="1" x14ac:dyDescent="0.7">
      <c r="A140" s="254"/>
      <c r="B140" s="259" t="s">
        <v>239</v>
      </c>
      <c r="C140" s="255"/>
      <c r="D140" s="256"/>
      <c r="E140" s="257"/>
      <c r="F140" s="250">
        <f>SUM(F131:F139)</f>
        <v>368577.71300382406</v>
      </c>
      <c r="G140" s="257"/>
      <c r="H140" s="250">
        <f>SUM(H132:H139)</f>
        <v>16944.328054080001</v>
      </c>
      <c r="I140" s="250">
        <f>SUM(I131:I139)</f>
        <v>385522.04105790396</v>
      </c>
      <c r="J140" s="251"/>
    </row>
    <row r="141" spans="1:13" s="200" customFormat="1" x14ac:dyDescent="0.7">
      <c r="A141" s="274">
        <v>8.11</v>
      </c>
      <c r="B141" s="273" t="s">
        <v>338</v>
      </c>
      <c r="C141" s="149"/>
      <c r="D141" s="138"/>
      <c r="E141" s="197"/>
      <c r="F141" s="205"/>
      <c r="G141" s="197"/>
      <c r="H141" s="205"/>
      <c r="I141" s="205"/>
      <c r="J141" s="199"/>
      <c r="M141" s="206">
        <f>SUM(I120:I138)</f>
        <v>487612.04105790396</v>
      </c>
    </row>
    <row r="142" spans="1:13" s="200" customFormat="1" x14ac:dyDescent="0.7">
      <c r="A142" s="274" t="s">
        <v>257</v>
      </c>
      <c r="B142" s="273" t="s">
        <v>316</v>
      </c>
      <c r="C142" s="149"/>
      <c r="D142" s="138"/>
      <c r="E142" s="197"/>
      <c r="F142" s="205"/>
      <c r="G142" s="197"/>
      <c r="H142" s="205"/>
      <c r="I142" s="205"/>
      <c r="J142" s="199"/>
      <c r="M142" s="206"/>
    </row>
    <row r="143" spans="1:13" s="200" customFormat="1" x14ac:dyDescent="0.7">
      <c r="A143" s="296" t="s">
        <v>351</v>
      </c>
      <c r="B143" s="277" t="s">
        <v>263</v>
      </c>
      <c r="C143" s="284">
        <v>1.6</v>
      </c>
      <c r="D143" s="297" t="s">
        <v>24</v>
      </c>
      <c r="E143" s="298">
        <v>2115</v>
      </c>
      <c r="F143" s="284">
        <f t="shared" ref="F143:F146" si="46">C143*E143</f>
        <v>3384</v>
      </c>
      <c r="G143" s="298">
        <v>350</v>
      </c>
      <c r="H143" s="284">
        <f t="shared" ref="H143:H147" si="47">C143*G143</f>
        <v>560</v>
      </c>
      <c r="I143" s="292">
        <f t="shared" ref="I143" si="48">F143+H143</f>
        <v>3944</v>
      </c>
      <c r="J143" s="199"/>
      <c r="M143" s="206"/>
    </row>
    <row r="144" spans="1:13" s="336" customFormat="1" x14ac:dyDescent="0.7">
      <c r="A144" s="296" t="s">
        <v>352</v>
      </c>
      <c r="B144" s="277" t="s">
        <v>260</v>
      </c>
      <c r="C144" s="284">
        <f>1.2*10*0.888*1.09</f>
        <v>11.615040000000002</v>
      </c>
      <c r="D144" s="297" t="s">
        <v>35</v>
      </c>
      <c r="E144" s="294">
        <v>22.1</v>
      </c>
      <c r="F144" s="295">
        <f t="shared" si="46"/>
        <v>256.69238400000006</v>
      </c>
      <c r="G144" s="294">
        <v>3.6</v>
      </c>
      <c r="H144" s="295">
        <f t="shared" si="47"/>
        <v>41.814144000000006</v>
      </c>
      <c r="I144" s="295">
        <f t="shared" ref="I144:I146" si="49">SUM(F144,H144)</f>
        <v>298.50652800000006</v>
      </c>
      <c r="J144" s="335"/>
      <c r="M144" s="337"/>
    </row>
    <row r="145" spans="1:14" s="200" customFormat="1" x14ac:dyDescent="0.7">
      <c r="A145" s="296" t="s">
        <v>353</v>
      </c>
      <c r="B145" s="277" t="s">
        <v>262</v>
      </c>
      <c r="C145" s="284">
        <f>((0.2*0.8*4*4)+(0.2*0.8*4*6))</f>
        <v>6.4000000000000012</v>
      </c>
      <c r="D145" s="297" t="s">
        <v>25</v>
      </c>
      <c r="E145" s="298">
        <v>451.4</v>
      </c>
      <c r="F145" s="284">
        <f t="shared" si="46"/>
        <v>2888.9600000000005</v>
      </c>
      <c r="G145" s="298">
        <v>133</v>
      </c>
      <c r="H145" s="284">
        <f t="shared" si="47"/>
        <v>851.20000000000016</v>
      </c>
      <c r="I145" s="295">
        <f t="shared" si="49"/>
        <v>3740.1600000000008</v>
      </c>
      <c r="J145" s="199"/>
      <c r="M145" s="206"/>
    </row>
    <row r="146" spans="1:14" s="325" customFormat="1" x14ac:dyDescent="0.7">
      <c r="A146" s="296" t="s">
        <v>372</v>
      </c>
      <c r="B146" s="283" t="s">
        <v>261</v>
      </c>
      <c r="C146" s="225">
        <f>(C144/1000)*30</f>
        <v>0.34845120000000007</v>
      </c>
      <c r="D146" s="289" t="s">
        <v>35</v>
      </c>
      <c r="E146" s="188">
        <v>21.58</v>
      </c>
      <c r="F146" s="186">
        <f t="shared" si="46"/>
        <v>7.5195768960000011</v>
      </c>
      <c r="G146" s="188">
        <v>4.0999999999999996</v>
      </c>
      <c r="H146" s="186">
        <f t="shared" si="47"/>
        <v>1.4286499200000002</v>
      </c>
      <c r="I146" s="186">
        <f t="shared" si="49"/>
        <v>8.9482268160000018</v>
      </c>
      <c r="J146" s="202"/>
      <c r="M146" s="326">
        <f>C144+C149+C150+C156+C157+C163+C170+C171+C177</f>
        <v>1507.1449464000002</v>
      </c>
      <c r="N146" s="326">
        <f>M146/1000</f>
        <v>1.5071449464000002</v>
      </c>
    </row>
    <row r="147" spans="1:14" s="325" customFormat="1" x14ac:dyDescent="0.7">
      <c r="A147" s="296" t="s">
        <v>373</v>
      </c>
      <c r="B147" s="283" t="s">
        <v>300</v>
      </c>
      <c r="C147" s="225">
        <f>C145/0.25</f>
        <v>25.600000000000005</v>
      </c>
      <c r="D147" s="289" t="s">
        <v>35</v>
      </c>
      <c r="E147" s="188">
        <v>46.42</v>
      </c>
      <c r="F147" s="186">
        <f>C147*E147</f>
        <v>1188.3520000000003</v>
      </c>
      <c r="G147" s="188"/>
      <c r="H147" s="186">
        <f t="shared" si="47"/>
        <v>0</v>
      </c>
      <c r="I147" s="186">
        <f>F147+H147</f>
        <v>1188.3520000000003</v>
      </c>
      <c r="J147" s="202"/>
      <c r="M147" s="326"/>
    </row>
    <row r="148" spans="1:14" s="200" customFormat="1" x14ac:dyDescent="0.7">
      <c r="A148" s="274" t="s">
        <v>377</v>
      </c>
      <c r="B148" s="299" t="s">
        <v>317</v>
      </c>
      <c r="C148" s="282"/>
      <c r="D148" s="138"/>
      <c r="E148" s="285"/>
      <c r="F148" s="149"/>
      <c r="G148" s="285"/>
      <c r="H148" s="149"/>
      <c r="I148" s="205"/>
      <c r="J148" s="199"/>
      <c r="M148" s="206"/>
    </row>
    <row r="149" spans="1:14" s="336" customFormat="1" x14ac:dyDescent="0.7">
      <c r="A149" s="334" t="s">
        <v>378</v>
      </c>
      <c r="B149" s="277" t="s">
        <v>313</v>
      </c>
      <c r="C149" s="284">
        <f>((0.2*4)*(3.45/0.15)*4*0.222*1.05)+((0.2*4)*(0.5/0.15)*6*0.222*1.05)</f>
        <v>20.885760000000005</v>
      </c>
      <c r="D149" s="297" t="s">
        <v>35</v>
      </c>
      <c r="E149" s="294">
        <v>22.75</v>
      </c>
      <c r="F149" s="295">
        <f t="shared" ref="F149:F153" si="50">C149*E149</f>
        <v>475.15104000000008</v>
      </c>
      <c r="G149" s="294">
        <v>4.4000000000000004</v>
      </c>
      <c r="H149" s="295">
        <f t="shared" ref="H149:H154" si="51">C149*G149</f>
        <v>91.897344000000032</v>
      </c>
      <c r="I149" s="295">
        <f t="shared" ref="I149:I150" si="52">SUM(F149,H149)</f>
        <v>567.04838400000017</v>
      </c>
      <c r="J149" s="335"/>
      <c r="M149" s="337"/>
    </row>
    <row r="150" spans="1:14" s="200" customFormat="1" x14ac:dyDescent="0.7">
      <c r="A150" s="334" t="s">
        <v>379</v>
      </c>
      <c r="B150" s="277" t="s">
        <v>260</v>
      </c>
      <c r="C150" s="284">
        <f>((3.45+0.2+0.4)*6*4*0.888*1.09)+((0.4+0.2+0.5)*6*6*0.888*1.09)</f>
        <v>132.41145600000004</v>
      </c>
      <c r="D150" s="297" t="s">
        <v>35</v>
      </c>
      <c r="E150" s="294">
        <v>22.1</v>
      </c>
      <c r="F150" s="295">
        <f t="shared" si="50"/>
        <v>2926.2931776000009</v>
      </c>
      <c r="G150" s="294">
        <v>3.6</v>
      </c>
      <c r="H150" s="295">
        <f t="shared" si="51"/>
        <v>476.68124160000019</v>
      </c>
      <c r="I150" s="295">
        <f t="shared" si="52"/>
        <v>3402.9744192000012</v>
      </c>
      <c r="J150" s="207"/>
      <c r="M150" s="206"/>
    </row>
    <row r="151" spans="1:14" s="200" customFormat="1" x14ac:dyDescent="0.7">
      <c r="A151" s="334" t="s">
        <v>380</v>
      </c>
      <c r="B151" s="277" t="s">
        <v>263</v>
      </c>
      <c r="C151" s="284">
        <f>ROUND((3.45*0.2*0.2*4)+(0.5*0.2*0.2*6),0)</f>
        <v>1</v>
      </c>
      <c r="D151" s="297" t="s">
        <v>24</v>
      </c>
      <c r="E151" s="298">
        <v>2115</v>
      </c>
      <c r="F151" s="284">
        <f t="shared" si="50"/>
        <v>2115</v>
      </c>
      <c r="G151" s="298">
        <v>350</v>
      </c>
      <c r="H151" s="284">
        <f t="shared" si="51"/>
        <v>350</v>
      </c>
      <c r="I151" s="292">
        <f t="shared" ref="I151" si="53">F151+H151</f>
        <v>2465</v>
      </c>
      <c r="J151" s="199"/>
      <c r="M151" s="206"/>
    </row>
    <row r="152" spans="1:14" s="200" customFormat="1" x14ac:dyDescent="0.7">
      <c r="A152" s="334" t="s">
        <v>381</v>
      </c>
      <c r="B152" s="277" t="s">
        <v>262</v>
      </c>
      <c r="C152" s="284">
        <f>((0.2*3.45*4*4)+(0.2*0.5*4*6))*0.7</f>
        <v>9.4079999999999995</v>
      </c>
      <c r="D152" s="297" t="s">
        <v>25</v>
      </c>
      <c r="E152" s="298">
        <v>451.4</v>
      </c>
      <c r="F152" s="284">
        <f t="shared" si="50"/>
        <v>4246.7711999999992</v>
      </c>
      <c r="G152" s="298">
        <v>133</v>
      </c>
      <c r="H152" s="284">
        <f t="shared" si="51"/>
        <v>1251.2639999999999</v>
      </c>
      <c r="I152" s="295">
        <f t="shared" ref="I152:I153" si="54">SUM(F152,H152)</f>
        <v>5498.0351999999993</v>
      </c>
      <c r="J152" s="199"/>
      <c r="M152" s="206"/>
    </row>
    <row r="153" spans="1:14" s="325" customFormat="1" x14ac:dyDescent="0.7">
      <c r="A153" s="334" t="s">
        <v>382</v>
      </c>
      <c r="B153" s="283" t="s">
        <v>261</v>
      </c>
      <c r="C153" s="225">
        <f>((C149+C150)/1000*30)</f>
        <v>4.5989164800000015</v>
      </c>
      <c r="D153" s="289" t="s">
        <v>35</v>
      </c>
      <c r="E153" s="188">
        <v>21.58</v>
      </c>
      <c r="F153" s="186">
        <f t="shared" si="50"/>
        <v>99.24461763840003</v>
      </c>
      <c r="G153" s="188">
        <v>4.0999999999999996</v>
      </c>
      <c r="H153" s="186">
        <f t="shared" si="51"/>
        <v>18.855557568000005</v>
      </c>
      <c r="I153" s="186">
        <f t="shared" si="54"/>
        <v>118.10017520640004</v>
      </c>
      <c r="J153" s="202"/>
      <c r="M153" s="326"/>
    </row>
    <row r="154" spans="1:14" s="325" customFormat="1" x14ac:dyDescent="0.7">
      <c r="A154" s="334" t="s">
        <v>383</v>
      </c>
      <c r="B154" s="283" t="s">
        <v>300</v>
      </c>
      <c r="C154" s="225">
        <f>C152/0.25</f>
        <v>37.631999999999998</v>
      </c>
      <c r="D154" s="289" t="s">
        <v>35</v>
      </c>
      <c r="E154" s="188">
        <v>46.42</v>
      </c>
      <c r="F154" s="186">
        <f>C154*E154</f>
        <v>1746.87744</v>
      </c>
      <c r="G154" s="188"/>
      <c r="H154" s="186">
        <f t="shared" si="51"/>
        <v>0</v>
      </c>
      <c r="I154" s="186">
        <f>F154+H154</f>
        <v>1746.87744</v>
      </c>
      <c r="J154" s="202"/>
      <c r="M154" s="326"/>
    </row>
    <row r="155" spans="1:14" s="200" customFormat="1" x14ac:dyDescent="0.7">
      <c r="A155" s="300" t="s">
        <v>384</v>
      </c>
      <c r="B155" s="299" t="s">
        <v>318</v>
      </c>
      <c r="C155" s="284"/>
      <c r="D155" s="297"/>
      <c r="E155" s="298"/>
      <c r="F155" s="284"/>
      <c r="G155" s="298"/>
      <c r="H155" s="284"/>
      <c r="I155" s="295"/>
      <c r="J155" s="199"/>
      <c r="M155" s="206"/>
    </row>
    <row r="156" spans="1:14" s="336" customFormat="1" x14ac:dyDescent="0.7">
      <c r="A156" s="334" t="s">
        <v>385</v>
      </c>
      <c r="B156" s="277" t="s">
        <v>313</v>
      </c>
      <c r="C156" s="284">
        <f>(1.2*(12.56/0.15)*0.222*1.05)+(1.2*(4.55/0.15)*0.222*1.05)+(1.2*(5.96/0.15)*0.222*1.05)</f>
        <v>43.020936000000006</v>
      </c>
      <c r="D156" s="297" t="s">
        <v>35</v>
      </c>
      <c r="E156" s="294">
        <v>22.75</v>
      </c>
      <c r="F156" s="295">
        <f t="shared" ref="F156" si="55">C156*E156</f>
        <v>978.72629400000017</v>
      </c>
      <c r="G156" s="294">
        <v>4.4000000000000004</v>
      </c>
      <c r="H156" s="295">
        <f t="shared" ref="H156" si="56">C156*G156</f>
        <v>189.29211840000005</v>
      </c>
      <c r="I156" s="295">
        <f t="shared" ref="I156" si="57">SUM(F156,H156)</f>
        <v>1168.0184124000002</v>
      </c>
      <c r="J156" s="335"/>
      <c r="M156" s="337"/>
    </row>
    <row r="157" spans="1:14" s="336" customFormat="1" x14ac:dyDescent="0.7">
      <c r="A157" s="334" t="s">
        <v>386</v>
      </c>
      <c r="B157" s="277" t="s">
        <v>315</v>
      </c>
      <c r="C157" s="284">
        <f>((12.56*6*1.58)+(4.55*6*1.58)+(5.96*6*1.58))*1.11</f>
        <v>242.76099600000003</v>
      </c>
      <c r="D157" s="297" t="s">
        <v>35</v>
      </c>
      <c r="E157" s="294">
        <v>21.9</v>
      </c>
      <c r="F157" s="295">
        <f t="shared" ref="F157:F160" si="58">C157*E157</f>
        <v>5316.4658124000007</v>
      </c>
      <c r="G157" s="294">
        <v>3.6</v>
      </c>
      <c r="H157" s="295">
        <f t="shared" ref="H157:H161" si="59">C157*G157</f>
        <v>873.9395856000001</v>
      </c>
      <c r="I157" s="295">
        <f t="shared" ref="I157" si="60">SUM(F157,H157)</f>
        <v>6190.4053980000008</v>
      </c>
      <c r="J157" s="335"/>
      <c r="M157" s="337"/>
    </row>
    <row r="158" spans="1:14" s="200" customFormat="1" x14ac:dyDescent="0.7">
      <c r="A158" s="334" t="s">
        <v>387</v>
      </c>
      <c r="B158" s="277" t="s">
        <v>263</v>
      </c>
      <c r="C158" s="284">
        <f>ROUNDUP((12.56*0.2*0.4)+(4.55*0.2*0.4)+(5.96*0.2*0.4),0)</f>
        <v>2</v>
      </c>
      <c r="D158" s="297" t="s">
        <v>24</v>
      </c>
      <c r="E158" s="298">
        <v>2115</v>
      </c>
      <c r="F158" s="284">
        <f t="shared" si="58"/>
        <v>4230</v>
      </c>
      <c r="G158" s="298">
        <v>350</v>
      </c>
      <c r="H158" s="284">
        <f t="shared" si="59"/>
        <v>700</v>
      </c>
      <c r="I158" s="292">
        <f t="shared" ref="I158" si="61">F158+H158</f>
        <v>4930</v>
      </c>
      <c r="J158" s="199"/>
      <c r="M158" s="206"/>
    </row>
    <row r="159" spans="1:14" s="200" customFormat="1" x14ac:dyDescent="0.7">
      <c r="A159" s="334" t="s">
        <v>388</v>
      </c>
      <c r="B159" s="277" t="s">
        <v>262</v>
      </c>
      <c r="C159" s="284">
        <f>(12.56+4.55+5.96)*0.4*2*0.7</f>
        <v>12.919199999999998</v>
      </c>
      <c r="D159" s="297" t="s">
        <v>25</v>
      </c>
      <c r="E159" s="298">
        <v>451.4</v>
      </c>
      <c r="F159" s="284">
        <f t="shared" si="58"/>
        <v>5831.7268799999993</v>
      </c>
      <c r="G159" s="298">
        <v>133</v>
      </c>
      <c r="H159" s="284">
        <f t="shared" si="59"/>
        <v>1718.2535999999998</v>
      </c>
      <c r="I159" s="295">
        <f t="shared" ref="I159:I160" si="62">SUM(F159,H159)</f>
        <v>7549.9804799999993</v>
      </c>
      <c r="J159" s="199"/>
      <c r="M159" s="206"/>
    </row>
    <row r="160" spans="1:14" s="325" customFormat="1" x14ac:dyDescent="0.7">
      <c r="A160" s="334" t="s">
        <v>389</v>
      </c>
      <c r="B160" s="283" t="s">
        <v>261</v>
      </c>
      <c r="C160" s="225">
        <f>((C156+C157)/1000*30)</f>
        <v>8.5734579600000007</v>
      </c>
      <c r="D160" s="289" t="s">
        <v>35</v>
      </c>
      <c r="E160" s="188">
        <v>21.58</v>
      </c>
      <c r="F160" s="186">
        <f t="shared" si="58"/>
        <v>185.01522277679999</v>
      </c>
      <c r="G160" s="188">
        <v>4.0999999999999996</v>
      </c>
      <c r="H160" s="186">
        <f t="shared" si="59"/>
        <v>35.151177636</v>
      </c>
      <c r="I160" s="186">
        <f t="shared" si="62"/>
        <v>220.16640041279999</v>
      </c>
      <c r="J160" s="202"/>
      <c r="M160" s="326"/>
    </row>
    <row r="161" spans="1:13" s="325" customFormat="1" x14ac:dyDescent="0.7">
      <c r="A161" s="334" t="s">
        <v>390</v>
      </c>
      <c r="B161" s="283" t="s">
        <v>300</v>
      </c>
      <c r="C161" s="225">
        <f>C159/0.25</f>
        <v>51.676799999999993</v>
      </c>
      <c r="D161" s="289" t="s">
        <v>35</v>
      </c>
      <c r="E161" s="188">
        <v>46.42</v>
      </c>
      <c r="F161" s="186">
        <f>C161*E161</f>
        <v>2398.8370559999998</v>
      </c>
      <c r="G161" s="188"/>
      <c r="H161" s="186">
        <f t="shared" si="59"/>
        <v>0</v>
      </c>
      <c r="I161" s="186">
        <f>F161+H161</f>
        <v>2398.8370559999998</v>
      </c>
      <c r="J161" s="202"/>
      <c r="M161" s="326"/>
    </row>
    <row r="162" spans="1:13" s="325" customFormat="1" x14ac:dyDescent="0.7">
      <c r="A162" s="327" t="s">
        <v>391</v>
      </c>
      <c r="B162" s="328" t="s">
        <v>319</v>
      </c>
      <c r="C162" s="225"/>
      <c r="D162" s="289"/>
      <c r="E162" s="288"/>
      <c r="F162" s="225"/>
      <c r="G162" s="288"/>
      <c r="H162" s="225"/>
      <c r="I162" s="290"/>
      <c r="J162" s="202"/>
      <c r="M162" s="326"/>
    </row>
    <row r="163" spans="1:13" s="340" customFormat="1" x14ac:dyDescent="0.7">
      <c r="A163" s="338" t="s">
        <v>392</v>
      </c>
      <c r="B163" s="283" t="s">
        <v>260</v>
      </c>
      <c r="C163" s="225">
        <f>((58.25*2)+5.6)*4*0.888*1.09</f>
        <v>472.73212799999999</v>
      </c>
      <c r="D163" s="289" t="s">
        <v>35</v>
      </c>
      <c r="E163" s="294">
        <v>22.1</v>
      </c>
      <c r="F163" s="295">
        <f t="shared" ref="F163" si="63">C163*E163</f>
        <v>10447.3800288</v>
      </c>
      <c r="G163" s="294">
        <v>3.6</v>
      </c>
      <c r="H163" s="295">
        <f t="shared" ref="H163" si="64">C163*G163</f>
        <v>1701.8356607999999</v>
      </c>
      <c r="I163" s="295">
        <f t="shared" ref="I163" si="65">SUM(F163,H163)</f>
        <v>12149.2156896</v>
      </c>
      <c r="J163" s="339"/>
      <c r="M163" s="341"/>
    </row>
    <row r="164" spans="1:13" s="325" customFormat="1" x14ac:dyDescent="0.7">
      <c r="A164" s="338" t="s">
        <v>393</v>
      </c>
      <c r="B164" s="283" t="s">
        <v>263</v>
      </c>
      <c r="C164" s="225">
        <f>ROUNDUP((3.14*2.8*2.8*0.15),0)</f>
        <v>4</v>
      </c>
      <c r="D164" s="289" t="s">
        <v>24</v>
      </c>
      <c r="E164" s="288">
        <v>2115</v>
      </c>
      <c r="F164" s="225">
        <f t="shared" ref="F164:F167" si="66">C164*E164</f>
        <v>8460</v>
      </c>
      <c r="G164" s="288">
        <v>350</v>
      </c>
      <c r="H164" s="225">
        <f t="shared" ref="H164:H168" si="67">C164*G164</f>
        <v>1400</v>
      </c>
      <c r="I164" s="292">
        <f t="shared" ref="I164" si="68">F164+H164</f>
        <v>9860</v>
      </c>
      <c r="J164" s="202"/>
      <c r="M164" s="326"/>
    </row>
    <row r="165" spans="1:13" s="325" customFormat="1" x14ac:dyDescent="0.7">
      <c r="A165" s="338" t="s">
        <v>394</v>
      </c>
      <c r="B165" s="283" t="s">
        <v>262</v>
      </c>
      <c r="C165" s="225">
        <f>17.6*0.15*0.7</f>
        <v>1.8479999999999999</v>
      </c>
      <c r="D165" s="289" t="s">
        <v>25</v>
      </c>
      <c r="E165" s="288">
        <v>451.4</v>
      </c>
      <c r="F165" s="225">
        <f t="shared" si="66"/>
        <v>834.18719999999985</v>
      </c>
      <c r="G165" s="288">
        <v>133</v>
      </c>
      <c r="H165" s="225">
        <f t="shared" si="67"/>
        <v>245.78399999999999</v>
      </c>
      <c r="I165" s="290">
        <f t="shared" ref="I165:I167" si="69">SUM(F165,H165)</f>
        <v>1079.9712</v>
      </c>
      <c r="J165" s="202"/>
      <c r="M165" s="326"/>
    </row>
    <row r="166" spans="1:13" s="325" customFormat="1" x14ac:dyDescent="0.7">
      <c r="A166" s="338" t="s">
        <v>395</v>
      </c>
      <c r="B166" s="283" t="s">
        <v>430</v>
      </c>
      <c r="C166" s="225">
        <f>2.8*1.25</f>
        <v>3.5</v>
      </c>
      <c r="D166" s="289" t="s">
        <v>24</v>
      </c>
      <c r="E166" s="288">
        <v>500</v>
      </c>
      <c r="F166" s="225">
        <f t="shared" si="66"/>
        <v>1750</v>
      </c>
      <c r="G166" s="288">
        <v>50</v>
      </c>
      <c r="H166" s="225">
        <f t="shared" si="67"/>
        <v>175</v>
      </c>
      <c r="I166" s="290">
        <f t="shared" si="69"/>
        <v>1925</v>
      </c>
      <c r="J166" s="202"/>
      <c r="M166" s="326"/>
    </row>
    <row r="167" spans="1:13" s="325" customFormat="1" x14ac:dyDescent="0.7">
      <c r="A167" s="338" t="s">
        <v>396</v>
      </c>
      <c r="B167" s="283" t="s">
        <v>261</v>
      </c>
      <c r="C167" s="225">
        <f>C163/1000*30</f>
        <v>14.18196384</v>
      </c>
      <c r="D167" s="289" t="s">
        <v>35</v>
      </c>
      <c r="E167" s="188">
        <v>21.58</v>
      </c>
      <c r="F167" s="186">
        <f t="shared" si="66"/>
        <v>306.04677966719998</v>
      </c>
      <c r="G167" s="188">
        <v>4.0999999999999996</v>
      </c>
      <c r="H167" s="186">
        <f t="shared" si="67"/>
        <v>58.146051743999998</v>
      </c>
      <c r="I167" s="186">
        <f t="shared" si="69"/>
        <v>364.19283141119996</v>
      </c>
      <c r="J167" s="202"/>
      <c r="M167" s="326"/>
    </row>
    <row r="168" spans="1:13" s="325" customFormat="1" x14ac:dyDescent="0.7">
      <c r="A168" s="338" t="s">
        <v>429</v>
      </c>
      <c r="B168" s="283" t="s">
        <v>300</v>
      </c>
      <c r="C168" s="225">
        <f>C165/0.25</f>
        <v>7.3919999999999995</v>
      </c>
      <c r="D168" s="289" t="s">
        <v>35</v>
      </c>
      <c r="E168" s="188">
        <v>46.42</v>
      </c>
      <c r="F168" s="186">
        <f>C168*E168</f>
        <v>343.13664</v>
      </c>
      <c r="G168" s="188"/>
      <c r="H168" s="186">
        <f t="shared" si="67"/>
        <v>0</v>
      </c>
      <c r="I168" s="186">
        <f>F168+H168</f>
        <v>343.13664</v>
      </c>
      <c r="J168" s="202"/>
      <c r="M168" s="326"/>
    </row>
    <row r="169" spans="1:13" s="200" customFormat="1" x14ac:dyDescent="0.7">
      <c r="A169" s="300" t="s">
        <v>397</v>
      </c>
      <c r="B169" s="299" t="s">
        <v>320</v>
      </c>
      <c r="C169" s="284"/>
      <c r="D169" s="297"/>
      <c r="E169" s="298"/>
      <c r="F169" s="284"/>
      <c r="G169" s="298"/>
      <c r="H169" s="284"/>
      <c r="I169" s="295"/>
      <c r="J169" s="199"/>
      <c r="M169" s="206"/>
    </row>
    <row r="170" spans="1:13" s="200" customFormat="1" x14ac:dyDescent="0.7">
      <c r="A170" s="334" t="s">
        <v>398</v>
      </c>
      <c r="B170" s="277" t="s">
        <v>313</v>
      </c>
      <c r="C170" s="284">
        <f>1.2*(12.56/0.15)*0.222*1.05</f>
        <v>23.421888000000003</v>
      </c>
      <c r="D170" s="297" t="s">
        <v>35</v>
      </c>
      <c r="E170" s="294">
        <v>22.75</v>
      </c>
      <c r="F170" s="295">
        <f t="shared" ref="F170:F171" si="70">C170*E170</f>
        <v>532.84795200000008</v>
      </c>
      <c r="G170" s="294">
        <v>4.4000000000000004</v>
      </c>
      <c r="H170" s="295">
        <f t="shared" ref="H170:H171" si="71">C170*G170</f>
        <v>103.05630720000002</v>
      </c>
      <c r="I170" s="295">
        <f t="shared" ref="I170:I171" si="72">SUM(F170,H170)</f>
        <v>635.90425920000007</v>
      </c>
      <c r="J170" s="207"/>
      <c r="M170" s="206"/>
    </row>
    <row r="171" spans="1:13" s="200" customFormat="1" x14ac:dyDescent="0.7">
      <c r="A171" s="334" t="s">
        <v>399</v>
      </c>
      <c r="B171" s="277" t="s">
        <v>315</v>
      </c>
      <c r="C171" s="284">
        <f>(12.56*6*1.58)*1.11</f>
        <v>132.16636800000003</v>
      </c>
      <c r="D171" s="297" t="s">
        <v>35</v>
      </c>
      <c r="E171" s="294">
        <v>21.9</v>
      </c>
      <c r="F171" s="295">
        <f t="shared" si="70"/>
        <v>2894.4434592000007</v>
      </c>
      <c r="G171" s="294">
        <v>3.6</v>
      </c>
      <c r="H171" s="295">
        <f t="shared" si="71"/>
        <v>475.79892480000012</v>
      </c>
      <c r="I171" s="295">
        <f t="shared" si="72"/>
        <v>3370.242384000001</v>
      </c>
      <c r="J171" s="207"/>
      <c r="M171" s="206"/>
    </row>
    <row r="172" spans="1:13" s="200" customFormat="1" x14ac:dyDescent="0.7">
      <c r="A172" s="334" t="s">
        <v>400</v>
      </c>
      <c r="B172" s="277" t="s">
        <v>263</v>
      </c>
      <c r="C172" s="284">
        <f>12.56*0.4*0.2</f>
        <v>1.0048000000000001</v>
      </c>
      <c r="D172" s="297" t="s">
        <v>24</v>
      </c>
      <c r="E172" s="298">
        <v>2115</v>
      </c>
      <c r="F172" s="284">
        <f t="shared" ref="F172:F174" si="73">C172*E172</f>
        <v>2125.1520000000005</v>
      </c>
      <c r="G172" s="298">
        <v>350</v>
      </c>
      <c r="H172" s="284">
        <f t="shared" ref="H172:H175" si="74">C172*G172</f>
        <v>351.68000000000006</v>
      </c>
      <c r="I172" s="292">
        <f t="shared" ref="I172" si="75">F172+H172</f>
        <v>2476.8320000000003</v>
      </c>
      <c r="J172" s="199"/>
      <c r="M172" s="206"/>
    </row>
    <row r="173" spans="1:13" s="200" customFormat="1" x14ac:dyDescent="0.7">
      <c r="A173" s="334" t="s">
        <v>401</v>
      </c>
      <c r="B173" s="277" t="s">
        <v>262</v>
      </c>
      <c r="C173" s="284">
        <f>12.56*(0.4+0.2+0.4)*0.7</f>
        <v>8.7919999999999998</v>
      </c>
      <c r="D173" s="297" t="s">
        <v>25</v>
      </c>
      <c r="E173" s="298">
        <v>451.4</v>
      </c>
      <c r="F173" s="284">
        <f t="shared" si="73"/>
        <v>3968.7087999999999</v>
      </c>
      <c r="G173" s="298">
        <v>133</v>
      </c>
      <c r="H173" s="284">
        <f t="shared" si="74"/>
        <v>1169.336</v>
      </c>
      <c r="I173" s="295">
        <f t="shared" ref="I173:I174" si="76">SUM(F173,H173)</f>
        <v>5138.0447999999997</v>
      </c>
      <c r="J173" s="199"/>
      <c r="M173" s="206"/>
    </row>
    <row r="174" spans="1:13" s="325" customFormat="1" x14ac:dyDescent="0.7">
      <c r="A174" s="334" t="s">
        <v>402</v>
      </c>
      <c r="B174" s="283" t="s">
        <v>261</v>
      </c>
      <c r="C174" s="225">
        <f>(C170+C171)/1000*30</f>
        <v>4.6676476800000009</v>
      </c>
      <c r="D174" s="289" t="s">
        <v>35</v>
      </c>
      <c r="E174" s="188">
        <v>21.58</v>
      </c>
      <c r="F174" s="186">
        <f t="shared" si="73"/>
        <v>100.72783693440002</v>
      </c>
      <c r="G174" s="188">
        <v>4.0999999999999996</v>
      </c>
      <c r="H174" s="186">
        <f t="shared" si="74"/>
        <v>19.137355488000001</v>
      </c>
      <c r="I174" s="186">
        <f t="shared" si="76"/>
        <v>119.86519242240001</v>
      </c>
      <c r="J174" s="202"/>
      <c r="M174" s="326"/>
    </row>
    <row r="175" spans="1:13" s="325" customFormat="1" x14ac:dyDescent="0.7">
      <c r="A175" s="334" t="s">
        <v>403</v>
      </c>
      <c r="B175" s="283" t="s">
        <v>300</v>
      </c>
      <c r="C175" s="225">
        <f>C173/0.25</f>
        <v>35.167999999999999</v>
      </c>
      <c r="D175" s="289" t="s">
        <v>35</v>
      </c>
      <c r="E175" s="188">
        <v>46.42</v>
      </c>
      <c r="F175" s="186">
        <f>C175*E175</f>
        <v>1632.49856</v>
      </c>
      <c r="G175" s="188"/>
      <c r="H175" s="186">
        <f t="shared" si="74"/>
        <v>0</v>
      </c>
      <c r="I175" s="186">
        <f>F175+H175</f>
        <v>1632.49856</v>
      </c>
      <c r="J175" s="202"/>
      <c r="M175" s="326"/>
    </row>
    <row r="176" spans="1:13" s="200" customFormat="1" x14ac:dyDescent="0.7">
      <c r="A176" s="300" t="s">
        <v>404</v>
      </c>
      <c r="B176" s="299" t="s">
        <v>321</v>
      </c>
      <c r="C176" s="284"/>
      <c r="D176" s="297"/>
      <c r="E176" s="298"/>
      <c r="F176" s="284"/>
      <c r="G176" s="298"/>
      <c r="H176" s="284"/>
      <c r="I176" s="295"/>
      <c r="J176" s="199"/>
      <c r="M176" s="206"/>
    </row>
    <row r="177" spans="1:15" s="325" customFormat="1" x14ac:dyDescent="0.7">
      <c r="A177" s="338" t="s">
        <v>405</v>
      </c>
      <c r="B177" s="283" t="s">
        <v>260</v>
      </c>
      <c r="C177" s="225">
        <f>((52.64*2)+5.3)*4*0.888*1.09</f>
        <v>428.13037440000005</v>
      </c>
      <c r="D177" s="289" t="s">
        <v>35</v>
      </c>
      <c r="E177" s="294">
        <v>22.1</v>
      </c>
      <c r="F177" s="295">
        <f t="shared" ref="F177" si="77">C177*E177</f>
        <v>9461.6812742400016</v>
      </c>
      <c r="G177" s="294">
        <v>3.6</v>
      </c>
      <c r="H177" s="295">
        <f t="shared" ref="H177" si="78">C177*G177</f>
        <v>1541.2693478400001</v>
      </c>
      <c r="I177" s="295">
        <f t="shared" ref="I177" si="79">SUM(F177,H177)</f>
        <v>11002.950622080001</v>
      </c>
      <c r="J177" s="333"/>
      <c r="M177" s="326"/>
    </row>
    <row r="178" spans="1:15" s="200" customFormat="1" x14ac:dyDescent="0.7">
      <c r="A178" s="338" t="s">
        <v>406</v>
      </c>
      <c r="B178" s="277" t="s">
        <v>263</v>
      </c>
      <c r="C178" s="284">
        <f>3.14*5.3/2*5.3/2*0.15</f>
        <v>3.3075974999999995</v>
      </c>
      <c r="D178" s="297" t="s">
        <v>24</v>
      </c>
      <c r="E178" s="298">
        <v>2115</v>
      </c>
      <c r="F178" s="284">
        <f t="shared" ref="F178:F183" si="80">C178*E178</f>
        <v>6995.5687124999986</v>
      </c>
      <c r="G178" s="298">
        <v>350</v>
      </c>
      <c r="H178" s="284">
        <f t="shared" ref="H178:H183" si="81">C178*G178</f>
        <v>1157.6591249999999</v>
      </c>
      <c r="I178" s="292">
        <f t="shared" ref="I178" si="82">F178+H178</f>
        <v>8153.2278374999987</v>
      </c>
      <c r="J178" s="199"/>
      <c r="M178" s="206"/>
    </row>
    <row r="179" spans="1:15" s="200" customFormat="1" x14ac:dyDescent="0.7">
      <c r="A179" s="338" t="s">
        <v>407</v>
      </c>
      <c r="B179" s="277" t="s">
        <v>262</v>
      </c>
      <c r="C179" s="225">
        <f>(22.06+(16.65*0.15))*0.7</f>
        <v>17.190249999999995</v>
      </c>
      <c r="D179" s="297" t="s">
        <v>25</v>
      </c>
      <c r="E179" s="298">
        <v>451.4</v>
      </c>
      <c r="F179" s="284">
        <f t="shared" si="80"/>
        <v>7759.6788499999975</v>
      </c>
      <c r="G179" s="298">
        <v>133</v>
      </c>
      <c r="H179" s="284">
        <f t="shared" si="81"/>
        <v>2286.3032499999995</v>
      </c>
      <c r="I179" s="295">
        <f t="shared" ref="I179:I183" si="83">SUM(F179,H179)</f>
        <v>10045.982099999997</v>
      </c>
      <c r="J179" s="199"/>
      <c r="M179" s="206"/>
    </row>
    <row r="180" spans="1:15" s="200" customFormat="1" x14ac:dyDescent="0.7">
      <c r="A180" s="338" t="s">
        <v>408</v>
      </c>
      <c r="B180" s="277" t="s">
        <v>323</v>
      </c>
      <c r="C180" s="284">
        <v>6.28</v>
      </c>
      <c r="D180" s="297" t="s">
        <v>25</v>
      </c>
      <c r="E180" s="304">
        <v>452.4</v>
      </c>
      <c r="F180" s="305">
        <f t="shared" si="80"/>
        <v>2841.0720000000001</v>
      </c>
      <c r="G180" s="304">
        <v>134</v>
      </c>
      <c r="H180" s="305">
        <f t="shared" si="81"/>
        <v>841.52</v>
      </c>
      <c r="I180" s="305">
        <f t="shared" si="83"/>
        <v>3682.5920000000001</v>
      </c>
      <c r="J180" s="199"/>
      <c r="M180" s="206"/>
    </row>
    <row r="181" spans="1:15" s="200" customFormat="1" x14ac:dyDescent="0.7">
      <c r="A181" s="338" t="s">
        <v>409</v>
      </c>
      <c r="B181" s="277" t="s">
        <v>359</v>
      </c>
      <c r="C181" s="284">
        <v>2</v>
      </c>
      <c r="D181" s="297" t="s">
        <v>314</v>
      </c>
      <c r="E181" s="304">
        <v>547</v>
      </c>
      <c r="F181" s="305">
        <f t="shared" si="80"/>
        <v>1094</v>
      </c>
      <c r="G181" s="304">
        <v>120</v>
      </c>
      <c r="H181" s="305">
        <f t="shared" si="81"/>
        <v>240</v>
      </c>
      <c r="I181" s="305">
        <f t="shared" si="83"/>
        <v>1334</v>
      </c>
      <c r="J181" s="199"/>
      <c r="M181" s="206"/>
    </row>
    <row r="182" spans="1:15" s="200" customFormat="1" x14ac:dyDescent="0.7">
      <c r="A182" s="338" t="s">
        <v>410</v>
      </c>
      <c r="B182" s="277" t="s">
        <v>358</v>
      </c>
      <c r="C182" s="284">
        <v>3</v>
      </c>
      <c r="D182" s="297" t="s">
        <v>55</v>
      </c>
      <c r="E182" s="304">
        <f>E181*0.5</f>
        <v>273.5</v>
      </c>
      <c r="F182" s="305">
        <f t="shared" si="80"/>
        <v>820.5</v>
      </c>
      <c r="G182" s="304">
        <f>E181*0.3</f>
        <v>164.1</v>
      </c>
      <c r="H182" s="305">
        <f t="shared" si="81"/>
        <v>492.29999999999995</v>
      </c>
      <c r="I182" s="305">
        <f t="shared" si="83"/>
        <v>1312.8</v>
      </c>
      <c r="J182" s="199"/>
      <c r="M182" s="206"/>
    </row>
    <row r="183" spans="1:15" s="325" customFormat="1" x14ac:dyDescent="0.7">
      <c r="A183" s="338" t="s">
        <v>411</v>
      </c>
      <c r="B183" s="283" t="s">
        <v>261</v>
      </c>
      <c r="C183" s="225">
        <f>C177/1000*30</f>
        <v>12.843911232000002</v>
      </c>
      <c r="D183" s="289" t="s">
        <v>35</v>
      </c>
      <c r="E183" s="188">
        <v>21.58</v>
      </c>
      <c r="F183" s="186">
        <f t="shared" si="80"/>
        <v>277.17160438656003</v>
      </c>
      <c r="G183" s="188">
        <v>4.0999999999999996</v>
      </c>
      <c r="H183" s="186">
        <f t="shared" si="81"/>
        <v>52.660036051200002</v>
      </c>
      <c r="I183" s="186">
        <f t="shared" si="83"/>
        <v>329.83164043776003</v>
      </c>
      <c r="J183" s="202"/>
      <c r="M183" s="326"/>
    </row>
    <row r="184" spans="1:15" s="325" customFormat="1" x14ac:dyDescent="0.7">
      <c r="A184" s="338" t="s">
        <v>412</v>
      </c>
      <c r="B184" s="283" t="s">
        <v>300</v>
      </c>
      <c r="C184" s="225">
        <f>C179/0.25</f>
        <v>68.760999999999981</v>
      </c>
      <c r="D184" s="289" t="s">
        <v>35</v>
      </c>
      <c r="E184" s="188">
        <v>46.42</v>
      </c>
      <c r="F184" s="186">
        <f>C184*E184</f>
        <v>3191.8856199999991</v>
      </c>
      <c r="G184" s="188"/>
      <c r="H184" s="186">
        <f t="shared" ref="H184" si="84">C184*G184</f>
        <v>0</v>
      </c>
      <c r="I184" s="186">
        <f>F184+H184</f>
        <v>3191.8856199999991</v>
      </c>
      <c r="J184" s="202"/>
      <c r="M184" s="326"/>
    </row>
    <row r="185" spans="1:15" s="200" customFormat="1" x14ac:dyDescent="0.7">
      <c r="A185" s="300" t="s">
        <v>413</v>
      </c>
      <c r="B185" s="299" t="s">
        <v>322</v>
      </c>
      <c r="C185" s="284"/>
      <c r="D185" s="297"/>
      <c r="E185" s="298"/>
      <c r="F185" s="284"/>
      <c r="G185" s="298"/>
      <c r="H185" s="284"/>
      <c r="I185" s="295"/>
      <c r="J185" s="199"/>
      <c r="M185" s="206"/>
    </row>
    <row r="186" spans="1:15" s="200" customFormat="1" x14ac:dyDescent="0.7">
      <c r="A186" s="301" t="s">
        <v>414</v>
      </c>
      <c r="B186" s="302" t="s">
        <v>323</v>
      </c>
      <c r="C186" s="329">
        <v>44</v>
      </c>
      <c r="D186" s="303" t="s">
        <v>25</v>
      </c>
      <c r="E186" s="304">
        <v>452.4</v>
      </c>
      <c r="F186" s="305">
        <f t="shared" ref="F186:F200" si="85">C186*E186</f>
        <v>19905.599999999999</v>
      </c>
      <c r="G186" s="304">
        <v>134</v>
      </c>
      <c r="H186" s="305">
        <f t="shared" ref="H186:H200" si="86">C186*G186</f>
        <v>5896</v>
      </c>
      <c r="I186" s="305">
        <f t="shared" ref="I186:I200" si="87">SUM(F186,H186)</f>
        <v>25801.599999999999</v>
      </c>
      <c r="J186" s="306"/>
    </row>
    <row r="187" spans="1:15" s="200" customFormat="1" x14ac:dyDescent="0.7">
      <c r="A187" s="301" t="s">
        <v>415</v>
      </c>
      <c r="B187" s="314" t="s">
        <v>327</v>
      </c>
      <c r="C187" s="329">
        <v>44</v>
      </c>
      <c r="D187" s="303" t="s">
        <v>25</v>
      </c>
      <c r="E187" s="304">
        <v>43</v>
      </c>
      <c r="F187" s="315">
        <f t="shared" si="85"/>
        <v>1892</v>
      </c>
      <c r="G187" s="304">
        <v>34</v>
      </c>
      <c r="H187" s="305">
        <f t="shared" si="86"/>
        <v>1496</v>
      </c>
      <c r="I187" s="305">
        <f t="shared" si="87"/>
        <v>3388</v>
      </c>
      <c r="J187" s="306"/>
    </row>
    <row r="188" spans="1:15" s="200" customFormat="1" x14ac:dyDescent="0.7">
      <c r="A188" s="319"/>
      <c r="B188" s="311" t="s">
        <v>325</v>
      </c>
      <c r="C188" s="320"/>
      <c r="D188" s="312"/>
      <c r="E188" s="322"/>
      <c r="F188" s="313"/>
      <c r="G188" s="322"/>
      <c r="H188" s="323"/>
      <c r="I188" s="323"/>
      <c r="J188" s="324"/>
    </row>
    <row r="189" spans="1:15" s="200" customFormat="1" x14ac:dyDescent="0.7">
      <c r="A189" s="307"/>
      <c r="B189" s="316" t="s">
        <v>326</v>
      </c>
      <c r="C189" s="321"/>
      <c r="D189" s="317"/>
      <c r="E189" s="308"/>
      <c r="F189" s="318"/>
      <c r="G189" s="308"/>
      <c r="H189" s="309"/>
      <c r="I189" s="309"/>
      <c r="J189" s="310"/>
    </row>
    <row r="190" spans="1:15" s="200" customFormat="1" x14ac:dyDescent="0.7">
      <c r="A190" s="265" t="s">
        <v>416</v>
      </c>
      <c r="B190" s="152" t="s">
        <v>264</v>
      </c>
      <c r="C190" s="149">
        <v>1</v>
      </c>
      <c r="D190" s="138" t="s">
        <v>55</v>
      </c>
      <c r="E190" s="294">
        <v>940</v>
      </c>
      <c r="F190" s="295">
        <f>C190*E190</f>
        <v>940</v>
      </c>
      <c r="G190" s="294">
        <v>400</v>
      </c>
      <c r="H190" s="205">
        <f t="shared" si="86"/>
        <v>400</v>
      </c>
      <c r="I190" s="205">
        <f t="shared" si="87"/>
        <v>1340</v>
      </c>
      <c r="J190" s="199"/>
      <c r="M190" s="207" t="s">
        <v>116</v>
      </c>
      <c r="N190" s="207"/>
      <c r="O190" s="207"/>
    </row>
    <row r="191" spans="1:15" s="200" customFormat="1" x14ac:dyDescent="0.7">
      <c r="A191" s="265" t="s">
        <v>417</v>
      </c>
      <c r="B191" s="152" t="s">
        <v>332</v>
      </c>
      <c r="C191" s="284">
        <v>25.44</v>
      </c>
      <c r="D191" s="138" t="s">
        <v>25</v>
      </c>
      <c r="E191" s="294">
        <v>490</v>
      </c>
      <c r="F191" s="205">
        <f t="shared" si="85"/>
        <v>12465.6</v>
      </c>
      <c r="G191" s="294">
        <v>80</v>
      </c>
      <c r="H191" s="205">
        <f t="shared" si="86"/>
        <v>2035.2</v>
      </c>
      <c r="I191" s="205">
        <f t="shared" si="87"/>
        <v>14500.800000000001</v>
      </c>
      <c r="J191" s="199"/>
      <c r="M191" s="207" t="s">
        <v>117</v>
      </c>
      <c r="N191" s="207" t="s">
        <v>118</v>
      </c>
      <c r="O191" s="207" t="s">
        <v>2</v>
      </c>
    </row>
    <row r="192" spans="1:15" s="200" customFormat="1" x14ac:dyDescent="0.7">
      <c r="A192" s="265" t="s">
        <v>418</v>
      </c>
      <c r="B192" s="152" t="s">
        <v>324</v>
      </c>
      <c r="C192" s="149">
        <v>1</v>
      </c>
      <c r="D192" s="138" t="s">
        <v>23</v>
      </c>
      <c r="E192" s="294">
        <v>3850</v>
      </c>
      <c r="F192" s="205">
        <f t="shared" si="85"/>
        <v>3850</v>
      </c>
      <c r="G192" s="197">
        <v>198</v>
      </c>
      <c r="H192" s="205">
        <f t="shared" si="86"/>
        <v>198</v>
      </c>
      <c r="I192" s="205">
        <f t="shared" si="87"/>
        <v>4048</v>
      </c>
      <c r="J192" s="199"/>
      <c r="M192" s="208">
        <f>SUM(F186:F192)</f>
        <v>39053.199999999997</v>
      </c>
      <c r="N192" s="208">
        <f>SUM(H186:H192)</f>
        <v>10025.200000000001</v>
      </c>
      <c r="O192" s="208">
        <f>SUM(I186:I192)</f>
        <v>49078.400000000001</v>
      </c>
    </row>
    <row r="193" spans="1:15" s="200" customFormat="1" x14ac:dyDescent="0.7">
      <c r="A193" s="330" t="s">
        <v>419</v>
      </c>
      <c r="B193" s="273" t="s">
        <v>328</v>
      </c>
      <c r="C193" s="149"/>
      <c r="D193" s="138"/>
      <c r="E193" s="294"/>
      <c r="F193" s="205"/>
      <c r="G193" s="197"/>
      <c r="H193" s="205"/>
      <c r="I193" s="205"/>
      <c r="J193" s="199"/>
      <c r="M193" s="261"/>
      <c r="N193" s="261"/>
      <c r="O193" s="261"/>
    </row>
    <row r="194" spans="1:15" s="200" customFormat="1" x14ac:dyDescent="0.7">
      <c r="A194" s="331" t="s">
        <v>420</v>
      </c>
      <c r="B194" s="152" t="s">
        <v>329</v>
      </c>
      <c r="C194" s="149">
        <v>2</v>
      </c>
      <c r="D194" s="138" t="s">
        <v>333</v>
      </c>
      <c r="E194" s="294">
        <v>250</v>
      </c>
      <c r="F194" s="205">
        <f t="shared" si="85"/>
        <v>500</v>
      </c>
      <c r="G194" s="197">
        <v>170</v>
      </c>
      <c r="H194" s="205">
        <f t="shared" si="86"/>
        <v>340</v>
      </c>
      <c r="I194" s="205">
        <f t="shared" si="87"/>
        <v>840</v>
      </c>
      <c r="J194" s="199"/>
      <c r="M194" s="261"/>
      <c r="N194" s="261"/>
      <c r="O194" s="261"/>
    </row>
    <row r="195" spans="1:15" s="200" customFormat="1" x14ac:dyDescent="0.7">
      <c r="A195" s="331" t="s">
        <v>421</v>
      </c>
      <c r="B195" s="152" t="s">
        <v>330</v>
      </c>
      <c r="C195" s="149">
        <v>1</v>
      </c>
      <c r="D195" s="138" t="s">
        <v>23</v>
      </c>
      <c r="E195" s="294">
        <v>107</v>
      </c>
      <c r="F195" s="205">
        <f t="shared" si="85"/>
        <v>107</v>
      </c>
      <c r="G195" s="197">
        <v>90</v>
      </c>
      <c r="H195" s="205">
        <f t="shared" si="86"/>
        <v>90</v>
      </c>
      <c r="I195" s="205">
        <f t="shared" si="87"/>
        <v>197</v>
      </c>
      <c r="J195" s="199"/>
      <c r="M195" s="261"/>
      <c r="N195" s="261"/>
      <c r="O195" s="261"/>
    </row>
    <row r="196" spans="1:15" s="200" customFormat="1" x14ac:dyDescent="0.7">
      <c r="A196" s="331" t="s">
        <v>422</v>
      </c>
      <c r="B196" s="152" t="s">
        <v>331</v>
      </c>
      <c r="C196" s="149">
        <v>2</v>
      </c>
      <c r="D196" s="138" t="s">
        <v>23</v>
      </c>
      <c r="E196" s="294">
        <v>95</v>
      </c>
      <c r="F196" s="205">
        <f t="shared" si="85"/>
        <v>190</v>
      </c>
      <c r="G196" s="197">
        <v>80</v>
      </c>
      <c r="H196" s="205">
        <f t="shared" si="86"/>
        <v>160</v>
      </c>
      <c r="I196" s="205">
        <f t="shared" si="87"/>
        <v>350</v>
      </c>
      <c r="J196" s="199"/>
      <c r="M196" s="261"/>
      <c r="N196" s="261"/>
      <c r="O196" s="261"/>
    </row>
    <row r="197" spans="1:15" s="325" customFormat="1" x14ac:dyDescent="0.7">
      <c r="A197" s="331" t="s">
        <v>423</v>
      </c>
      <c r="B197" s="182" t="s">
        <v>371</v>
      </c>
      <c r="C197" s="186">
        <v>5</v>
      </c>
      <c r="D197" s="187" t="s">
        <v>41</v>
      </c>
      <c r="E197" s="345">
        <v>100</v>
      </c>
      <c r="F197" s="204">
        <f t="shared" si="85"/>
        <v>500</v>
      </c>
      <c r="G197" s="203"/>
      <c r="H197" s="204">
        <f t="shared" si="86"/>
        <v>0</v>
      </c>
      <c r="I197" s="204">
        <f t="shared" si="87"/>
        <v>500</v>
      </c>
      <c r="J197" s="202"/>
      <c r="M197" s="348"/>
      <c r="N197" s="348"/>
      <c r="O197" s="348"/>
    </row>
    <row r="198" spans="1:15" s="200" customFormat="1" x14ac:dyDescent="0.7">
      <c r="A198" s="331" t="s">
        <v>424</v>
      </c>
      <c r="B198" s="152" t="s">
        <v>370</v>
      </c>
      <c r="C198" s="149">
        <v>1</v>
      </c>
      <c r="D198" s="138" t="s">
        <v>43</v>
      </c>
      <c r="E198" s="294"/>
      <c r="F198" s="205">
        <f t="shared" si="85"/>
        <v>0</v>
      </c>
      <c r="G198" s="197">
        <f>0.3*I197</f>
        <v>150</v>
      </c>
      <c r="H198" s="205">
        <f>C198*G198</f>
        <v>150</v>
      </c>
      <c r="I198" s="205">
        <f t="shared" si="87"/>
        <v>150</v>
      </c>
      <c r="J198" s="199"/>
      <c r="M198" s="261"/>
      <c r="N198" s="261"/>
      <c r="O198" s="261"/>
    </row>
    <row r="199" spans="1:15" s="200" customFormat="1" x14ac:dyDescent="0.7">
      <c r="A199" s="254"/>
      <c r="B199" s="259" t="s">
        <v>240</v>
      </c>
      <c r="C199" s="255"/>
      <c r="D199" s="256"/>
      <c r="E199" s="257"/>
      <c r="F199" s="250">
        <f>SUM(F142:F198)</f>
        <v>144462.52001903937</v>
      </c>
      <c r="G199" s="257"/>
      <c r="H199" s="250">
        <f>SUM(H142:H198)</f>
        <v>30236.463477647198</v>
      </c>
      <c r="I199" s="250">
        <f>SUM(I141:I198)</f>
        <v>174698.98349668653</v>
      </c>
      <c r="J199" s="371"/>
      <c r="M199" s="261"/>
      <c r="N199" s="261"/>
      <c r="O199" s="261"/>
    </row>
    <row r="200" spans="1:15" s="210" customFormat="1" x14ac:dyDescent="0.7">
      <c r="A200" s="201">
        <v>8.1199999999999992</v>
      </c>
      <c r="B200" s="182" t="s">
        <v>108</v>
      </c>
      <c r="C200" s="186">
        <v>1</v>
      </c>
      <c r="D200" s="187" t="s">
        <v>43</v>
      </c>
      <c r="E200" s="203"/>
      <c r="F200" s="204">
        <f t="shared" si="85"/>
        <v>0</v>
      </c>
      <c r="G200" s="203">
        <v>25000</v>
      </c>
      <c r="H200" s="204">
        <f t="shared" si="86"/>
        <v>25000</v>
      </c>
      <c r="I200" s="204">
        <f t="shared" si="87"/>
        <v>25000</v>
      </c>
      <c r="J200" s="209"/>
    </row>
    <row r="201" spans="1:15" s="210" customFormat="1" x14ac:dyDescent="0.7">
      <c r="A201" s="352"/>
      <c r="B201" s="259" t="s">
        <v>241</v>
      </c>
      <c r="C201" s="255"/>
      <c r="D201" s="256"/>
      <c r="E201" s="257"/>
      <c r="F201" s="258"/>
      <c r="G201" s="257"/>
      <c r="H201" s="258"/>
      <c r="I201" s="250">
        <f>SUM(I200)</f>
        <v>25000</v>
      </c>
      <c r="J201" s="262"/>
    </row>
    <row r="202" spans="1:15" s="191" customFormat="1" x14ac:dyDescent="0.7">
      <c r="A202" s="211"/>
      <c r="B202" s="212" t="s">
        <v>86</v>
      </c>
      <c r="C202" s="365"/>
      <c r="D202" s="213"/>
      <c r="E202" s="214"/>
      <c r="F202" s="215">
        <f>SUM(F120:F200)</f>
        <v>1113370.4660457268</v>
      </c>
      <c r="G202" s="214"/>
      <c r="H202" s="215">
        <f>SUM(H120:H200)</f>
        <v>136161.5830634544</v>
      </c>
      <c r="I202" s="215">
        <f>I85+I94+I107+I119+I129+I140+I199+I201</f>
        <v>1392032.0245545905</v>
      </c>
      <c r="J202" s="216"/>
    </row>
    <row r="203" spans="1:15" s="191" customFormat="1" x14ac:dyDescent="0.7">
      <c r="A203" s="372">
        <v>9</v>
      </c>
      <c r="B203" s="131" t="s">
        <v>161</v>
      </c>
      <c r="C203" s="355"/>
      <c r="D203" s="132"/>
      <c r="E203" s="133"/>
      <c r="F203" s="217"/>
      <c r="G203" s="133"/>
      <c r="H203" s="217"/>
      <c r="I203" s="217"/>
      <c r="J203" s="218"/>
      <c r="M203" s="219">
        <f>SUM(I186:I192)</f>
        <v>49078.400000000001</v>
      </c>
    </row>
    <row r="204" spans="1:15" s="191" customFormat="1" x14ac:dyDescent="0.7">
      <c r="A204" s="275">
        <v>9.1</v>
      </c>
      <c r="B204" s="224" t="s">
        <v>125</v>
      </c>
      <c r="C204" s="281"/>
      <c r="D204" s="187"/>
      <c r="E204" s="188"/>
      <c r="F204" s="225"/>
      <c r="G204" s="188"/>
      <c r="H204" s="225"/>
      <c r="I204" s="225"/>
      <c r="J204" s="223"/>
    </row>
    <row r="205" spans="1:15" s="191" customFormat="1" x14ac:dyDescent="0.7">
      <c r="A205" s="220" t="s">
        <v>265</v>
      </c>
      <c r="B205" s="182" t="s">
        <v>299</v>
      </c>
      <c r="C205" s="137">
        <v>4</v>
      </c>
      <c r="D205" s="138" t="s">
        <v>23</v>
      </c>
      <c r="E205" s="139">
        <v>32000</v>
      </c>
      <c r="F205" s="221">
        <f>C205*E205</f>
        <v>128000</v>
      </c>
      <c r="G205" s="139">
        <v>2500</v>
      </c>
      <c r="H205" s="222">
        <f>C205*G205</f>
        <v>10000</v>
      </c>
      <c r="I205" s="222">
        <f>SUM(F205,H205)</f>
        <v>138000</v>
      </c>
      <c r="J205" s="223"/>
    </row>
    <row r="206" spans="1:15" s="191" customFormat="1" x14ac:dyDescent="0.7">
      <c r="A206" s="220" t="s">
        <v>266</v>
      </c>
      <c r="B206" s="182" t="s">
        <v>297</v>
      </c>
      <c r="C206" s="137">
        <v>1</v>
      </c>
      <c r="D206" s="138" t="s">
        <v>23</v>
      </c>
      <c r="E206" s="139">
        <v>20000</v>
      </c>
      <c r="F206" s="221">
        <f>C206*E206</f>
        <v>20000</v>
      </c>
      <c r="G206" s="139">
        <v>5000</v>
      </c>
      <c r="H206" s="222">
        <f>C206*G206</f>
        <v>5000</v>
      </c>
      <c r="I206" s="222">
        <f>SUM(F206,H206)</f>
        <v>25000</v>
      </c>
      <c r="J206" s="223"/>
    </row>
    <row r="207" spans="1:15" s="191" customFormat="1" x14ac:dyDescent="0.7">
      <c r="A207" s="220" t="s">
        <v>267</v>
      </c>
      <c r="B207" s="182" t="s">
        <v>298</v>
      </c>
      <c r="C207" s="137">
        <v>1</v>
      </c>
      <c r="D207" s="138" t="s">
        <v>23</v>
      </c>
      <c r="E207" s="139">
        <v>20000</v>
      </c>
      <c r="F207" s="221">
        <f>C207*E207</f>
        <v>20000</v>
      </c>
      <c r="G207" s="139">
        <v>5000</v>
      </c>
      <c r="H207" s="222">
        <f>C207*G207</f>
        <v>5000</v>
      </c>
      <c r="I207" s="222">
        <f>SUM(F207,H207)</f>
        <v>25000</v>
      </c>
      <c r="J207" s="223"/>
    </row>
    <row r="208" spans="1:15" s="191" customFormat="1" x14ac:dyDescent="0.7">
      <c r="A208" s="220" t="s">
        <v>268</v>
      </c>
      <c r="B208" s="182" t="s">
        <v>269</v>
      </c>
      <c r="C208" s="137">
        <v>1</v>
      </c>
      <c r="D208" s="138" t="s">
        <v>43</v>
      </c>
      <c r="E208" s="139">
        <v>15000</v>
      </c>
      <c r="F208" s="221">
        <f>C208*E208</f>
        <v>15000</v>
      </c>
      <c r="G208" s="139">
        <v>5000</v>
      </c>
      <c r="H208" s="222">
        <f>C208*G208</f>
        <v>5000</v>
      </c>
      <c r="I208" s="222">
        <f t="shared" ref="I208:I229" si="88">SUM(F208,H208)</f>
        <v>20000</v>
      </c>
      <c r="J208" s="223"/>
    </row>
    <row r="209" spans="1:10" s="191" customFormat="1" x14ac:dyDescent="0.7">
      <c r="A209" s="268"/>
      <c r="B209" s="259" t="s">
        <v>277</v>
      </c>
      <c r="C209" s="366"/>
      <c r="D209" s="256"/>
      <c r="E209" s="269"/>
      <c r="F209" s="373">
        <f>SUM(F205:F208)</f>
        <v>183000</v>
      </c>
      <c r="G209" s="374"/>
      <c r="H209" s="271">
        <f>SUM(H205:H208)</f>
        <v>25000</v>
      </c>
      <c r="I209" s="271">
        <f>SUM(I205:I208)</f>
        <v>208000</v>
      </c>
      <c r="J209" s="270"/>
    </row>
    <row r="210" spans="1:10" s="191" customFormat="1" x14ac:dyDescent="0.7">
      <c r="A210" s="275">
        <v>9.1999999999999993</v>
      </c>
      <c r="B210" s="224" t="s">
        <v>126</v>
      </c>
      <c r="C210" s="281"/>
      <c r="D210" s="187"/>
      <c r="E210" s="188"/>
      <c r="F210" s="225"/>
      <c r="G210" s="188"/>
      <c r="H210" s="225"/>
      <c r="I210" s="225"/>
      <c r="J210" s="223"/>
    </row>
    <row r="211" spans="1:10" s="191" customFormat="1" x14ac:dyDescent="0.7">
      <c r="A211" s="275" t="s">
        <v>270</v>
      </c>
      <c r="B211" s="224" t="s">
        <v>122</v>
      </c>
      <c r="C211" s="281"/>
      <c r="D211" s="187"/>
      <c r="E211" s="188"/>
      <c r="F211" s="225"/>
      <c r="G211" s="188"/>
      <c r="H211" s="225"/>
      <c r="I211" s="225"/>
      <c r="J211" s="223"/>
    </row>
    <row r="212" spans="1:10" s="191" customFormat="1" x14ac:dyDescent="0.7">
      <c r="A212" s="220" t="s">
        <v>272</v>
      </c>
      <c r="B212" s="182" t="s">
        <v>286</v>
      </c>
      <c r="C212" s="281">
        <v>750</v>
      </c>
      <c r="D212" s="187" t="s">
        <v>123</v>
      </c>
      <c r="E212" s="188">
        <v>250</v>
      </c>
      <c r="F212" s="226">
        <f>C212*E212</f>
        <v>187500</v>
      </c>
      <c r="G212" s="188">
        <v>35</v>
      </c>
      <c r="H212" s="225">
        <f>C212*G212</f>
        <v>26250</v>
      </c>
      <c r="I212" s="225">
        <f t="shared" si="88"/>
        <v>213750</v>
      </c>
      <c r="J212" s="223"/>
    </row>
    <row r="213" spans="1:10" s="191" customFormat="1" x14ac:dyDescent="0.7">
      <c r="A213" s="220" t="s">
        <v>273</v>
      </c>
      <c r="B213" s="182" t="s">
        <v>287</v>
      </c>
      <c r="C213" s="281">
        <v>1700</v>
      </c>
      <c r="D213" s="187" t="s">
        <v>123</v>
      </c>
      <c r="E213" s="188">
        <v>310</v>
      </c>
      <c r="F213" s="226">
        <f>C213*E213</f>
        <v>527000</v>
      </c>
      <c r="G213" s="188">
        <v>45</v>
      </c>
      <c r="H213" s="225">
        <f>C213*G213</f>
        <v>76500</v>
      </c>
      <c r="I213" s="225">
        <f t="shared" si="88"/>
        <v>603500</v>
      </c>
      <c r="J213" s="223"/>
    </row>
    <row r="214" spans="1:10" s="191" customFormat="1" x14ac:dyDescent="0.7">
      <c r="A214" s="220" t="s">
        <v>274</v>
      </c>
      <c r="B214" s="182" t="s">
        <v>288</v>
      </c>
      <c r="C214" s="281">
        <v>370</v>
      </c>
      <c r="D214" s="187" t="s">
        <v>123</v>
      </c>
      <c r="E214" s="188">
        <v>680</v>
      </c>
      <c r="F214" s="226">
        <f>C214*E214</f>
        <v>251600</v>
      </c>
      <c r="G214" s="188">
        <v>115</v>
      </c>
      <c r="H214" s="225">
        <f>C214*G214</f>
        <v>42550</v>
      </c>
      <c r="I214" s="225">
        <f>SUM(F214,H214)</f>
        <v>294150</v>
      </c>
      <c r="J214" s="223"/>
    </row>
    <row r="215" spans="1:10" s="191" customFormat="1" x14ac:dyDescent="0.7">
      <c r="A215" s="275" t="s">
        <v>271</v>
      </c>
      <c r="B215" s="224" t="s">
        <v>124</v>
      </c>
      <c r="C215" s="281"/>
      <c r="D215" s="187"/>
      <c r="E215" s="188"/>
      <c r="F215" s="226"/>
      <c r="G215" s="188"/>
      <c r="H215" s="225"/>
      <c r="I215" s="225"/>
      <c r="J215" s="223"/>
    </row>
    <row r="216" spans="1:10" s="191" customFormat="1" x14ac:dyDescent="0.7">
      <c r="A216" s="220" t="s">
        <v>275</v>
      </c>
      <c r="B216" s="182" t="s">
        <v>289</v>
      </c>
      <c r="C216" s="281">
        <v>1500</v>
      </c>
      <c r="D216" s="187" t="s">
        <v>123</v>
      </c>
      <c r="E216" s="188">
        <v>12</v>
      </c>
      <c r="F216" s="226">
        <f>C216*E216</f>
        <v>18000</v>
      </c>
      <c r="G216" s="188">
        <v>7</v>
      </c>
      <c r="H216" s="225">
        <f>C216*G216</f>
        <v>10500</v>
      </c>
      <c r="I216" s="225">
        <f>SUM(F216,H216)</f>
        <v>28500</v>
      </c>
      <c r="J216" s="272"/>
    </row>
    <row r="217" spans="1:10" s="191" customFormat="1" x14ac:dyDescent="0.7">
      <c r="A217" s="268"/>
      <c r="B217" s="259" t="s">
        <v>276</v>
      </c>
      <c r="C217" s="366"/>
      <c r="D217" s="256"/>
      <c r="E217" s="269"/>
      <c r="F217" s="373">
        <f>SUM(F212:F216)</f>
        <v>984100</v>
      </c>
      <c r="G217" s="269"/>
      <c r="H217" s="271">
        <f>SUM(H211:H216)</f>
        <v>155800</v>
      </c>
      <c r="I217" s="271">
        <f>SUM(I211:I216)</f>
        <v>1139900</v>
      </c>
      <c r="J217" s="375"/>
    </row>
    <row r="218" spans="1:10" s="191" customFormat="1" x14ac:dyDescent="0.7">
      <c r="A218" s="275">
        <v>9.3000000000000007</v>
      </c>
      <c r="B218" s="224" t="s">
        <v>127</v>
      </c>
      <c r="C218" s="281"/>
      <c r="D218" s="187"/>
      <c r="E218" s="188"/>
      <c r="F218" s="225"/>
      <c r="G218" s="188"/>
      <c r="H218" s="225"/>
      <c r="I218" s="225"/>
      <c r="J218" s="223"/>
    </row>
    <row r="219" spans="1:10" s="191" customFormat="1" x14ac:dyDescent="0.7">
      <c r="A219" s="220" t="s">
        <v>279</v>
      </c>
      <c r="B219" s="182" t="s">
        <v>283</v>
      </c>
      <c r="C219" s="137">
        <v>450</v>
      </c>
      <c r="D219" s="138" t="s">
        <v>123</v>
      </c>
      <c r="E219" s="139">
        <v>170</v>
      </c>
      <c r="F219" s="221">
        <f>C219*E219</f>
        <v>76500</v>
      </c>
      <c r="G219" s="188">
        <v>34</v>
      </c>
      <c r="H219" s="222">
        <f>C219*G219</f>
        <v>15300</v>
      </c>
      <c r="I219" s="222">
        <f t="shared" si="88"/>
        <v>91800</v>
      </c>
      <c r="J219" s="223"/>
    </row>
    <row r="220" spans="1:10" s="191" customFormat="1" x14ac:dyDescent="0.7">
      <c r="A220" s="220" t="s">
        <v>280</v>
      </c>
      <c r="B220" s="182" t="s">
        <v>284</v>
      </c>
      <c r="C220" s="137">
        <v>400</v>
      </c>
      <c r="D220" s="138" t="s">
        <v>123</v>
      </c>
      <c r="E220" s="139">
        <v>25</v>
      </c>
      <c r="F220" s="221">
        <f>C220*E220</f>
        <v>10000</v>
      </c>
      <c r="G220" s="188">
        <v>34</v>
      </c>
      <c r="H220" s="222">
        <f>C220*G220</f>
        <v>13600</v>
      </c>
      <c r="I220" s="222">
        <f>SUM(F220,H220)</f>
        <v>23600</v>
      </c>
      <c r="J220" s="223"/>
    </row>
    <row r="221" spans="1:10" s="191" customFormat="1" x14ac:dyDescent="0.7">
      <c r="A221" s="220" t="s">
        <v>281</v>
      </c>
      <c r="B221" s="182" t="s">
        <v>285</v>
      </c>
      <c r="C221" s="281">
        <v>120</v>
      </c>
      <c r="D221" s="187" t="s">
        <v>123</v>
      </c>
      <c r="E221" s="188">
        <v>250</v>
      </c>
      <c r="F221" s="226">
        <f>C221*E221</f>
        <v>30000</v>
      </c>
      <c r="G221" s="188">
        <v>65</v>
      </c>
      <c r="H221" s="225">
        <f>C221*G221</f>
        <v>7800</v>
      </c>
      <c r="I221" s="225">
        <f t="shared" si="88"/>
        <v>37800</v>
      </c>
      <c r="J221" s="223"/>
    </row>
    <row r="222" spans="1:10" s="191" customFormat="1" x14ac:dyDescent="0.7">
      <c r="A222" s="220" t="s">
        <v>282</v>
      </c>
      <c r="B222" s="182" t="s">
        <v>269</v>
      </c>
      <c r="C222" s="137">
        <v>1</v>
      </c>
      <c r="D222" s="138" t="s">
        <v>43</v>
      </c>
      <c r="E222" s="139">
        <v>34000</v>
      </c>
      <c r="F222" s="221">
        <f>C222*E222</f>
        <v>34000</v>
      </c>
      <c r="G222" s="139">
        <v>20000</v>
      </c>
      <c r="H222" s="222">
        <f t="shared" ref="H222:H229" si="89">C222*G222</f>
        <v>20000</v>
      </c>
      <c r="I222" s="222">
        <f t="shared" si="88"/>
        <v>54000</v>
      </c>
      <c r="J222" s="223"/>
    </row>
    <row r="223" spans="1:10" s="191" customFormat="1" x14ac:dyDescent="0.7">
      <c r="A223" s="268"/>
      <c r="B223" s="259" t="s">
        <v>278</v>
      </c>
      <c r="C223" s="366"/>
      <c r="D223" s="256"/>
      <c r="E223" s="269"/>
      <c r="F223" s="373">
        <f>SUM(F219:F222)</f>
        <v>150500</v>
      </c>
      <c r="G223" s="269"/>
      <c r="H223" s="271">
        <f>SUM(H219:H222)</f>
        <v>56700</v>
      </c>
      <c r="I223" s="271">
        <f>SUM(I219:I222)</f>
        <v>207200</v>
      </c>
      <c r="J223" s="375"/>
    </row>
    <row r="224" spans="1:10" s="191" customFormat="1" x14ac:dyDescent="0.7">
      <c r="A224" s="275">
        <v>9.4</v>
      </c>
      <c r="B224" s="224" t="s">
        <v>128</v>
      </c>
      <c r="C224" s="281"/>
      <c r="D224" s="187"/>
      <c r="E224" s="188"/>
      <c r="F224" s="225"/>
      <c r="G224" s="188"/>
      <c r="H224" s="225"/>
      <c r="I224" s="225"/>
      <c r="J224" s="223"/>
    </row>
    <row r="225" spans="1:10" s="191" customFormat="1" x14ac:dyDescent="0.7">
      <c r="A225" s="220" t="s">
        <v>290</v>
      </c>
      <c r="B225" s="182" t="s">
        <v>292</v>
      </c>
      <c r="C225" s="137">
        <v>4</v>
      </c>
      <c r="D225" s="138" t="s">
        <v>23</v>
      </c>
      <c r="E225" s="139">
        <v>12000</v>
      </c>
      <c r="F225" s="221">
        <f>C225*E225</f>
        <v>48000</v>
      </c>
      <c r="G225" s="139">
        <v>2500</v>
      </c>
      <c r="H225" s="222">
        <f t="shared" si="89"/>
        <v>10000</v>
      </c>
      <c r="I225" s="222">
        <f>SUM(F225,H225)</f>
        <v>58000</v>
      </c>
      <c r="J225" s="223"/>
    </row>
    <row r="226" spans="1:10" s="191" customFormat="1" x14ac:dyDescent="0.7">
      <c r="A226" s="220" t="s">
        <v>291</v>
      </c>
      <c r="B226" s="182" t="s">
        <v>269</v>
      </c>
      <c r="C226" s="137">
        <v>1</v>
      </c>
      <c r="D226" s="138" t="s">
        <v>43</v>
      </c>
      <c r="E226" s="139">
        <v>3200</v>
      </c>
      <c r="F226" s="221">
        <f>C226*E226</f>
        <v>3200</v>
      </c>
      <c r="G226" s="139">
        <v>5000</v>
      </c>
      <c r="H226" s="222">
        <f t="shared" si="89"/>
        <v>5000</v>
      </c>
      <c r="I226" s="222">
        <f>SUM(F226,H226)</f>
        <v>8200</v>
      </c>
      <c r="J226" s="223"/>
    </row>
    <row r="227" spans="1:10" s="191" customFormat="1" x14ac:dyDescent="0.7">
      <c r="A227" s="268"/>
      <c r="B227" s="259" t="s">
        <v>293</v>
      </c>
      <c r="C227" s="366"/>
      <c r="D227" s="256"/>
      <c r="E227" s="269"/>
      <c r="F227" s="373">
        <f>SUM(F225:F226)</f>
        <v>51200</v>
      </c>
      <c r="G227" s="374"/>
      <c r="H227" s="271">
        <f>SUM(H225:H226)</f>
        <v>15000</v>
      </c>
      <c r="I227" s="271">
        <f>SUM(I225:I226)</f>
        <v>66200</v>
      </c>
      <c r="J227" s="375"/>
    </row>
    <row r="228" spans="1:10" s="191" customFormat="1" x14ac:dyDescent="0.7">
      <c r="A228" s="275">
        <v>9.5</v>
      </c>
      <c r="B228" s="224" t="s">
        <v>129</v>
      </c>
      <c r="C228" s="281"/>
      <c r="D228" s="187"/>
      <c r="E228" s="188"/>
      <c r="F228" s="225"/>
      <c r="G228" s="188"/>
      <c r="H228" s="225"/>
      <c r="I228" s="225"/>
      <c r="J228" s="223"/>
    </row>
    <row r="229" spans="1:10" s="191" customFormat="1" x14ac:dyDescent="0.7">
      <c r="A229" s="220" t="s">
        <v>294</v>
      </c>
      <c r="B229" s="182" t="s">
        <v>129</v>
      </c>
      <c r="C229" s="137">
        <v>4</v>
      </c>
      <c r="D229" s="138" t="s">
        <v>23</v>
      </c>
      <c r="E229" s="139"/>
      <c r="F229" s="221">
        <f>C229*E229</f>
        <v>0</v>
      </c>
      <c r="G229" s="139">
        <v>10000</v>
      </c>
      <c r="H229" s="222">
        <f t="shared" si="89"/>
        <v>40000</v>
      </c>
      <c r="I229" s="222">
        <f t="shared" si="88"/>
        <v>40000</v>
      </c>
      <c r="J229" s="223"/>
    </row>
    <row r="230" spans="1:10" s="191" customFormat="1" x14ac:dyDescent="0.7">
      <c r="A230" s="268"/>
      <c r="B230" s="259" t="s">
        <v>295</v>
      </c>
      <c r="C230" s="366"/>
      <c r="D230" s="256"/>
      <c r="E230" s="269"/>
      <c r="F230" s="373">
        <f>SUM(F229)</f>
        <v>0</v>
      </c>
      <c r="G230" s="374"/>
      <c r="H230" s="271">
        <f>SUM(H229)</f>
        <v>40000</v>
      </c>
      <c r="I230" s="271">
        <f>SUM(I229)</f>
        <v>40000</v>
      </c>
      <c r="J230" s="270"/>
    </row>
    <row r="231" spans="1:10" s="191" customFormat="1" x14ac:dyDescent="0.7">
      <c r="A231" s="227"/>
      <c r="B231" s="163" t="s">
        <v>130</v>
      </c>
      <c r="C231" s="356"/>
      <c r="D231" s="164"/>
      <c r="E231" s="165"/>
      <c r="F231" s="228">
        <f>SUM(F204:F229)</f>
        <v>2737600</v>
      </c>
      <c r="G231" s="165"/>
      <c r="H231" s="228">
        <f>SUM(H204:H229)</f>
        <v>545000</v>
      </c>
      <c r="I231" s="228">
        <f>I209+I217+I223+I227+I230</f>
        <v>1661300</v>
      </c>
      <c r="J231" s="229"/>
    </row>
    <row r="232" spans="1:10" s="191" customFormat="1" ht="27.75" customHeight="1" x14ac:dyDescent="0.7">
      <c r="A232" s="232"/>
      <c r="B232" s="231" t="s">
        <v>131</v>
      </c>
      <c r="C232" s="367"/>
      <c r="D232" s="232"/>
      <c r="E232" s="230"/>
      <c r="F232" s="230"/>
      <c r="G232" s="230"/>
      <c r="H232" s="230"/>
      <c r="I232" s="233" t="e">
        <f>I23+I31+#REF!+I39+I48+I59+I67+I202+I231</f>
        <v>#REF!</v>
      </c>
      <c r="J232" s="230"/>
    </row>
    <row r="233" spans="1:10" s="191" customFormat="1" x14ac:dyDescent="0.7">
      <c r="A233" s="234"/>
      <c r="C233" s="368"/>
      <c r="D233" s="234"/>
    </row>
    <row r="234" spans="1:10" s="191" customFormat="1" x14ac:dyDescent="0.7">
      <c r="A234" s="385" t="s">
        <v>425</v>
      </c>
      <c r="B234" s="386"/>
      <c r="C234" s="386"/>
      <c r="D234" s="387"/>
      <c r="E234" s="388"/>
      <c r="F234" s="388"/>
      <c r="G234" s="388"/>
    </row>
    <row r="235" spans="1:10" s="191" customFormat="1" x14ac:dyDescent="0.7">
      <c r="A235" s="386" t="s">
        <v>426</v>
      </c>
      <c r="B235" s="386"/>
      <c r="C235" s="386"/>
      <c r="D235" s="387"/>
      <c r="E235" s="388"/>
      <c r="F235" s="388"/>
      <c r="G235" s="388"/>
    </row>
    <row r="236" spans="1:10" s="191" customFormat="1" x14ac:dyDescent="0.7">
      <c r="A236" s="386" t="s">
        <v>436</v>
      </c>
      <c r="B236" s="386"/>
      <c r="C236" s="386"/>
      <c r="D236" s="386"/>
      <c r="E236" s="389"/>
      <c r="F236" s="389"/>
      <c r="G236" s="389"/>
    </row>
    <row r="237" spans="1:10" s="191" customFormat="1" x14ac:dyDescent="0.7">
      <c r="A237" s="386" t="s">
        <v>431</v>
      </c>
      <c r="B237" s="386"/>
      <c r="C237" s="386"/>
      <c r="D237" s="386"/>
      <c r="E237" s="389"/>
      <c r="F237" s="389"/>
      <c r="G237" s="389"/>
    </row>
    <row r="238" spans="1:10" s="191" customFormat="1" x14ac:dyDescent="0.7">
      <c r="A238" s="389" t="s">
        <v>435</v>
      </c>
      <c r="B238" s="390"/>
      <c r="C238" s="390"/>
      <c r="D238" s="389"/>
      <c r="E238" s="389"/>
      <c r="F238" s="389"/>
      <c r="G238" s="389"/>
    </row>
    <row r="239" spans="1:10" s="191" customFormat="1" x14ac:dyDescent="0.7">
      <c r="A239" s="389" t="s">
        <v>432</v>
      </c>
      <c r="B239" s="390"/>
      <c r="C239" s="390"/>
      <c r="D239" s="389"/>
      <c r="E239" s="389"/>
      <c r="F239" s="389"/>
      <c r="G239" s="389"/>
    </row>
    <row r="240" spans="1:10" s="191" customFormat="1" x14ac:dyDescent="0.7">
      <c r="A240" s="389" t="s">
        <v>433</v>
      </c>
      <c r="B240" s="390"/>
      <c r="C240" s="390"/>
      <c r="D240" s="389"/>
      <c r="E240" s="389"/>
      <c r="F240" s="389"/>
      <c r="G240" s="389"/>
    </row>
    <row r="241" spans="1:7" s="191" customFormat="1" x14ac:dyDescent="0.7">
      <c r="A241" s="389" t="s">
        <v>434</v>
      </c>
      <c r="B241" s="390"/>
      <c r="C241" s="390"/>
      <c r="D241" s="389"/>
      <c r="E241" s="389"/>
      <c r="F241" s="389"/>
      <c r="G241" s="389"/>
    </row>
    <row r="242" spans="1:7" s="191" customFormat="1" x14ac:dyDescent="0.7">
      <c r="A242" s="389" t="s">
        <v>427</v>
      </c>
      <c r="B242" s="390"/>
      <c r="C242" s="390"/>
      <c r="D242" s="389"/>
      <c r="E242" s="389"/>
      <c r="F242" s="389"/>
      <c r="G242" s="389"/>
    </row>
    <row r="243" spans="1:7" s="191" customFormat="1" x14ac:dyDescent="0.7">
      <c r="A243" s="389" t="s">
        <v>428</v>
      </c>
      <c r="B243" s="390"/>
      <c r="C243" s="390"/>
      <c r="D243" s="389"/>
      <c r="E243" s="389"/>
      <c r="F243" s="389"/>
      <c r="G243" s="389"/>
    </row>
    <row r="244" spans="1:7" s="191" customFormat="1" x14ac:dyDescent="0.7">
      <c r="A244" s="389" t="s">
        <v>438</v>
      </c>
      <c r="B244" s="390"/>
      <c r="C244" s="390"/>
      <c r="D244" s="389"/>
      <c r="E244" s="389"/>
      <c r="F244" s="389"/>
      <c r="G244" s="389"/>
    </row>
    <row r="245" spans="1:7" s="191" customFormat="1" x14ac:dyDescent="0.7">
      <c r="A245" s="389" t="s">
        <v>437</v>
      </c>
      <c r="B245" s="377"/>
      <c r="C245" s="377"/>
      <c r="D245" s="376"/>
      <c r="E245" s="376"/>
      <c r="F245" s="376"/>
      <c r="G245" s="376"/>
    </row>
    <row r="246" spans="1:7" s="191" customFormat="1" x14ac:dyDescent="0.7">
      <c r="A246" s="376"/>
      <c r="B246" s="377"/>
      <c r="C246" s="377"/>
      <c r="D246" s="376"/>
      <c r="E246" s="376"/>
      <c r="F246" s="376"/>
      <c r="G246" s="376"/>
    </row>
    <row r="247" spans="1:7" s="191" customFormat="1" x14ac:dyDescent="0.7">
      <c r="A247" s="376"/>
      <c r="B247" s="378"/>
      <c r="C247" s="379"/>
      <c r="D247" s="380"/>
      <c r="E247" s="380"/>
      <c r="F247" s="380"/>
      <c r="G247" s="380"/>
    </row>
    <row r="248" spans="1:7" s="191" customFormat="1" x14ac:dyDescent="0.7">
      <c r="A248" s="234"/>
      <c r="C248" s="368"/>
      <c r="D248" s="234"/>
    </row>
    <row r="249" spans="1:7" s="191" customFormat="1" x14ac:dyDescent="0.7">
      <c r="A249" s="234"/>
      <c r="C249" s="368"/>
      <c r="D249" s="234"/>
    </row>
    <row r="250" spans="1:7" s="191" customFormat="1" x14ac:dyDescent="0.7">
      <c r="A250" s="234"/>
      <c r="C250" s="368"/>
      <c r="D250" s="234"/>
    </row>
    <row r="251" spans="1:7" s="191" customFormat="1" x14ac:dyDescent="0.7">
      <c r="A251" s="234"/>
      <c r="C251" s="368"/>
      <c r="D251" s="234"/>
    </row>
    <row r="252" spans="1:7" s="191" customFormat="1" x14ac:dyDescent="0.7">
      <c r="A252" s="234"/>
      <c r="C252" s="368"/>
      <c r="D252" s="234"/>
    </row>
    <row r="253" spans="1:7" s="191" customFormat="1" x14ac:dyDescent="0.7">
      <c r="A253" s="234"/>
      <c r="C253" s="368"/>
      <c r="D253" s="234"/>
    </row>
    <row r="254" spans="1:7" s="191" customFormat="1" x14ac:dyDescent="0.7">
      <c r="A254" s="234"/>
      <c r="C254" s="368"/>
      <c r="D254" s="234"/>
    </row>
    <row r="255" spans="1:7" s="191" customFormat="1" x14ac:dyDescent="0.7">
      <c r="A255" s="234"/>
      <c r="C255" s="368"/>
      <c r="D255" s="234"/>
    </row>
    <row r="256" spans="1:7" s="191" customFormat="1" x14ac:dyDescent="0.7">
      <c r="A256" s="234"/>
      <c r="C256" s="368"/>
      <c r="D256" s="234"/>
    </row>
    <row r="257" spans="1:4" s="191" customFormat="1" x14ac:dyDescent="0.7">
      <c r="A257" s="234"/>
      <c r="C257" s="368"/>
      <c r="D257" s="234"/>
    </row>
    <row r="258" spans="1:4" s="191" customFormat="1" x14ac:dyDescent="0.7">
      <c r="A258" s="234"/>
      <c r="C258" s="368"/>
      <c r="D258" s="234"/>
    </row>
    <row r="259" spans="1:4" s="191" customFormat="1" x14ac:dyDescent="0.7">
      <c r="A259" s="234"/>
      <c r="C259" s="368"/>
      <c r="D259" s="234"/>
    </row>
    <row r="260" spans="1:4" s="191" customFormat="1" x14ac:dyDescent="0.7">
      <c r="A260" s="234"/>
      <c r="C260" s="368"/>
      <c r="D260" s="234"/>
    </row>
    <row r="261" spans="1:4" s="191" customFormat="1" x14ac:dyDescent="0.7">
      <c r="A261" s="234"/>
      <c r="C261" s="368"/>
      <c r="D261" s="234"/>
    </row>
    <row r="262" spans="1:4" s="191" customFormat="1" x14ac:dyDescent="0.7">
      <c r="A262" s="234"/>
      <c r="C262" s="368"/>
      <c r="D262" s="234"/>
    </row>
    <row r="263" spans="1:4" s="191" customFormat="1" x14ac:dyDescent="0.7">
      <c r="A263" s="234"/>
      <c r="C263" s="368"/>
      <c r="D263" s="234"/>
    </row>
    <row r="264" spans="1:4" s="191" customFormat="1" x14ac:dyDescent="0.7">
      <c r="A264" s="234"/>
      <c r="C264" s="368"/>
      <c r="D264" s="234"/>
    </row>
    <row r="265" spans="1:4" s="191" customFormat="1" x14ac:dyDescent="0.7">
      <c r="A265" s="234"/>
      <c r="C265" s="368"/>
      <c r="D265" s="234"/>
    </row>
    <row r="266" spans="1:4" s="191" customFormat="1" x14ac:dyDescent="0.7">
      <c r="A266" s="234"/>
      <c r="C266" s="368"/>
      <c r="D266" s="234"/>
    </row>
    <row r="267" spans="1:4" s="191" customFormat="1" x14ac:dyDescent="0.7">
      <c r="A267" s="234"/>
      <c r="C267" s="368"/>
      <c r="D267" s="234"/>
    </row>
    <row r="268" spans="1:4" s="191" customFormat="1" x14ac:dyDescent="0.7">
      <c r="A268" s="234"/>
      <c r="C268" s="368"/>
      <c r="D268" s="234"/>
    </row>
    <row r="269" spans="1:4" s="191" customFormat="1" x14ac:dyDescent="0.7">
      <c r="A269" s="234"/>
      <c r="C269" s="368"/>
      <c r="D269" s="234"/>
    </row>
    <row r="270" spans="1:4" s="191" customFormat="1" x14ac:dyDescent="0.7">
      <c r="A270" s="234"/>
      <c r="C270" s="368"/>
      <c r="D270" s="234"/>
    </row>
    <row r="271" spans="1:4" s="191" customFormat="1" x14ac:dyDescent="0.7">
      <c r="A271" s="234"/>
      <c r="C271" s="368"/>
      <c r="D271" s="234"/>
    </row>
    <row r="272" spans="1:4" s="191" customFormat="1" x14ac:dyDescent="0.7">
      <c r="A272" s="234"/>
      <c r="C272" s="368"/>
      <c r="D272" s="234"/>
    </row>
    <row r="273" spans="1:4" s="191" customFormat="1" x14ac:dyDescent="0.7">
      <c r="A273" s="234"/>
      <c r="C273" s="368"/>
      <c r="D273" s="234"/>
    </row>
    <row r="274" spans="1:4" s="191" customFormat="1" x14ac:dyDescent="0.7">
      <c r="A274" s="234"/>
      <c r="C274" s="368"/>
      <c r="D274" s="234"/>
    </row>
    <row r="275" spans="1:4" s="191" customFormat="1" x14ac:dyDescent="0.7">
      <c r="A275" s="234"/>
      <c r="C275" s="368"/>
      <c r="D275" s="234"/>
    </row>
    <row r="276" spans="1:4" s="191" customFormat="1" x14ac:dyDescent="0.7">
      <c r="A276" s="234"/>
      <c r="C276" s="368"/>
      <c r="D276" s="234"/>
    </row>
    <row r="277" spans="1:4" s="191" customFormat="1" x14ac:dyDescent="0.7">
      <c r="A277" s="234"/>
      <c r="C277" s="368"/>
      <c r="D277" s="234"/>
    </row>
  </sheetData>
  <mergeCells count="13">
    <mergeCell ref="A6:B6"/>
    <mergeCell ref="A8:A9"/>
    <mergeCell ref="A1:J1"/>
    <mergeCell ref="A4:F4"/>
    <mergeCell ref="G4:I4"/>
    <mergeCell ref="B8:B9"/>
    <mergeCell ref="C8:D8"/>
    <mergeCell ref="E8:F8"/>
    <mergeCell ref="J8:J9"/>
    <mergeCell ref="G8:H8"/>
    <mergeCell ref="A2:E2"/>
    <mergeCell ref="A3:E3"/>
    <mergeCell ref="A5:D5"/>
  </mergeCells>
  <phoneticPr fontId="2" type="noConversion"/>
  <hyperlinks>
    <hyperlink ref="K31" r:id="rId1"/>
  </hyperlinks>
  <pageMargins left="0.59055118110236204" right="0.196850393700787" top="0.55118110236220497" bottom="0.47244094488188998" header="0.43307086614173201" footer="0.27559055118110198"/>
  <pageSetup paperSize="9" scale="50" orientation="landscape" r:id="rId2"/>
  <headerFooter alignWithMargins="0">
    <oddHeader>&amp;Rปร.4/ &amp;P</oddHeader>
  </headerFooter>
  <rowBreaks count="9" manualBreakCount="9">
    <brk id="31" max="16383" man="1"/>
    <brk id="72" max="16383" man="1"/>
    <brk id="98" max="86" man="1"/>
    <brk id="123" max="16383" man="1"/>
    <brk id="150" max="16383" man="1"/>
    <brk id="175" max="16383" man="1"/>
    <brk id="202" max="16383" man="1"/>
    <brk id="227" max="16383" man="1"/>
    <brk id="2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H26" sqref="H26"/>
    </sheetView>
  </sheetViews>
  <sheetFormatPr defaultRowHeight="21.75" x14ac:dyDescent="0.5"/>
  <cols>
    <col min="1" max="1" width="13.5703125" bestFit="1" customWidth="1"/>
    <col min="3" max="3" width="14.5703125" customWidth="1"/>
    <col min="4" max="8" width="13.5703125" bestFit="1" customWidth="1"/>
    <col min="9" max="9" width="12.42578125" bestFit="1" customWidth="1"/>
    <col min="10" max="10" width="13.5703125" bestFit="1" customWidth="1"/>
  </cols>
  <sheetData>
    <row r="1" spans="1:10" x14ac:dyDescent="0.5">
      <c r="A1" s="64">
        <v>23829700</v>
      </c>
      <c r="B1" t="str">
        <f>BAHTTEXT(A1)</f>
        <v>ยี่สิบสามล้านแปดแสนสองหมื่นเก้าพันเจ็ดร้อยบาทถ้วน</v>
      </c>
    </row>
    <row r="2" spans="1:10" ht="22.5" thickBot="1" x14ac:dyDescent="0.55000000000000004">
      <c r="A2" t="s">
        <v>57</v>
      </c>
      <c r="B2" t="s">
        <v>58</v>
      </c>
      <c r="C2" t="s">
        <v>59</v>
      </c>
      <c r="D2" t="s">
        <v>60</v>
      </c>
    </row>
    <row r="3" spans="1:10" ht="22.5" thickBot="1" x14ac:dyDescent="0.55000000000000004">
      <c r="A3">
        <v>1</v>
      </c>
      <c r="B3" s="65">
        <v>5</v>
      </c>
      <c r="C3" s="66">
        <f>$A$1*B3/100</f>
        <v>1191485</v>
      </c>
      <c r="D3" s="66">
        <f>C3</f>
        <v>1191485</v>
      </c>
    </row>
    <row r="4" spans="1:10" ht="22.5" thickBot="1" x14ac:dyDescent="0.55000000000000004">
      <c r="A4">
        <v>2</v>
      </c>
      <c r="B4" s="67">
        <v>12</v>
      </c>
      <c r="C4" s="66">
        <f t="shared" ref="C4:C12" si="0">$A$1*B4/100</f>
        <v>2859564</v>
      </c>
      <c r="D4" s="66">
        <f t="shared" ref="D4:D12" si="1">C4+D3</f>
        <v>4051049</v>
      </c>
    </row>
    <row r="5" spans="1:10" ht="22.5" thickBot="1" x14ac:dyDescent="0.55000000000000004">
      <c r="A5">
        <v>3</v>
      </c>
      <c r="B5" s="67">
        <v>9</v>
      </c>
      <c r="C5" s="66">
        <f t="shared" si="0"/>
        <v>2144673</v>
      </c>
      <c r="D5" s="66">
        <f t="shared" si="1"/>
        <v>6195722</v>
      </c>
    </row>
    <row r="6" spans="1:10" ht="22.5" thickBot="1" x14ac:dyDescent="0.55000000000000004">
      <c r="A6">
        <v>4</v>
      </c>
      <c r="B6" s="67">
        <v>10</v>
      </c>
      <c r="C6" s="66">
        <f t="shared" si="0"/>
        <v>2382970</v>
      </c>
      <c r="D6" s="66">
        <f t="shared" si="1"/>
        <v>8578692</v>
      </c>
    </row>
    <row r="7" spans="1:10" ht="22.5" thickBot="1" x14ac:dyDescent="0.55000000000000004">
      <c r="A7">
        <v>5</v>
      </c>
      <c r="B7" s="67">
        <v>12</v>
      </c>
      <c r="C7" s="66">
        <f t="shared" si="0"/>
        <v>2859564</v>
      </c>
      <c r="D7" s="66">
        <f t="shared" si="1"/>
        <v>11438256</v>
      </c>
    </row>
    <row r="8" spans="1:10" ht="22.5" thickBot="1" x14ac:dyDescent="0.55000000000000004">
      <c r="A8">
        <v>6</v>
      </c>
      <c r="B8" s="67">
        <v>8</v>
      </c>
      <c r="C8" s="66">
        <f t="shared" si="0"/>
        <v>1906376</v>
      </c>
      <c r="D8" s="66">
        <f t="shared" si="1"/>
        <v>13344632</v>
      </c>
    </row>
    <row r="9" spans="1:10" ht="22.5" thickBot="1" x14ac:dyDescent="0.55000000000000004">
      <c r="A9">
        <v>7</v>
      </c>
      <c r="B9" s="67">
        <v>15</v>
      </c>
      <c r="C9" s="66">
        <f t="shared" si="0"/>
        <v>3574455</v>
      </c>
      <c r="D9" s="66">
        <f t="shared" si="1"/>
        <v>16919087</v>
      </c>
    </row>
    <row r="10" spans="1:10" ht="22.5" thickBot="1" x14ac:dyDescent="0.55000000000000004">
      <c r="A10">
        <v>8</v>
      </c>
      <c r="B10" s="67">
        <v>9</v>
      </c>
      <c r="C10" s="66">
        <f t="shared" si="0"/>
        <v>2144673</v>
      </c>
      <c r="D10" s="66">
        <f t="shared" si="1"/>
        <v>19063760</v>
      </c>
    </row>
    <row r="11" spans="1:10" ht="22.5" thickBot="1" x14ac:dyDescent="0.55000000000000004">
      <c r="A11">
        <v>9</v>
      </c>
      <c r="B11" s="67">
        <v>10</v>
      </c>
      <c r="C11" s="66">
        <f t="shared" si="0"/>
        <v>2382970</v>
      </c>
      <c r="D11" s="66">
        <f t="shared" si="1"/>
        <v>21446730</v>
      </c>
    </row>
    <row r="12" spans="1:10" ht="22.5" thickBot="1" x14ac:dyDescent="0.55000000000000004">
      <c r="A12">
        <v>10</v>
      </c>
      <c r="B12" s="67">
        <v>10</v>
      </c>
      <c r="C12" s="66">
        <f t="shared" si="0"/>
        <v>2382970</v>
      </c>
      <c r="D12" s="66">
        <f t="shared" si="1"/>
        <v>23829700</v>
      </c>
    </row>
    <row r="13" spans="1:10" x14ac:dyDescent="0.5">
      <c r="B13">
        <f>SUM(B3:B12)</f>
        <v>100</v>
      </c>
      <c r="C13" s="66">
        <f>SUM(C3:C12)</f>
        <v>23829700</v>
      </c>
    </row>
    <row r="15" spans="1:10" x14ac:dyDescent="0.5">
      <c r="E15" s="68" t="s">
        <v>61</v>
      </c>
      <c r="F15" s="68" t="s">
        <v>62</v>
      </c>
      <c r="G15" s="68" t="s">
        <v>2</v>
      </c>
      <c r="H15">
        <v>1.2547999999999999</v>
      </c>
    </row>
    <row r="16" spans="1:10" ht="24" x14ac:dyDescent="0.5">
      <c r="B16" s="70" t="s">
        <v>36</v>
      </c>
      <c r="E16" s="66">
        <f>' ปร.4 ลุกรัง'!F23</f>
        <v>1156165.5</v>
      </c>
      <c r="F16" s="66">
        <f>' ปร.4 ลุกรัง'!H23</f>
        <v>1186961.3800000001</v>
      </c>
      <c r="G16" s="66">
        <f>SUM(E16:F16)</f>
        <v>2343126.88</v>
      </c>
      <c r="H16" s="66">
        <f>$H$15*E16</f>
        <v>1450756.4693999998</v>
      </c>
      <c r="I16" s="66">
        <f>$H$15*F16</f>
        <v>1489399.1396240001</v>
      </c>
      <c r="J16" s="66">
        <f>$H$15*G16</f>
        <v>2940155.6090239999</v>
      </c>
    </row>
    <row r="17" spans="2:10" ht="24" x14ac:dyDescent="0.5">
      <c r="B17" s="70" t="s">
        <v>37</v>
      </c>
      <c r="E17" s="69" t="e">
        <f>' ปร.4 ลุกรัง'!#REF!</f>
        <v>#REF!</v>
      </c>
      <c r="F17" s="66" t="e">
        <f>' ปร.4 ลุกรัง'!#REF!</f>
        <v>#REF!</v>
      </c>
      <c r="G17" s="66" t="e">
        <f t="shared" ref="G17:G24" si="2">SUM(E17:F17)</f>
        <v>#REF!</v>
      </c>
      <c r="H17" s="66" t="e">
        <f>$H$15*E17</f>
        <v>#REF!</v>
      </c>
      <c r="I17" s="66" t="e">
        <f t="shared" ref="I17:I24" si="3">$H$15*F17</f>
        <v>#REF!</v>
      </c>
      <c r="J17" s="66" t="e">
        <f t="shared" ref="J17:J24" si="4">$H$15*G17</f>
        <v>#REF!</v>
      </c>
    </row>
    <row r="18" spans="2:10" ht="24" x14ac:dyDescent="0.5">
      <c r="B18" s="70" t="s">
        <v>38</v>
      </c>
      <c r="E18" s="66">
        <f>' ปร.4 ลุกรัง'!F48</f>
        <v>672993.20900000003</v>
      </c>
      <c r="F18" s="66">
        <f>' ปร.4 ลุกรัง'!H48</f>
        <v>162904.60500000001</v>
      </c>
      <c r="G18" s="66">
        <f t="shared" si="2"/>
        <v>835897.81400000001</v>
      </c>
      <c r="H18" s="66">
        <f t="shared" ref="H18:H24" si="5">$H$15*E18</f>
        <v>844471.87865319999</v>
      </c>
      <c r="I18" s="66">
        <f t="shared" si="3"/>
        <v>204412.69835399999</v>
      </c>
      <c r="J18" s="66">
        <f t="shared" si="4"/>
        <v>1048884.5770071999</v>
      </c>
    </row>
    <row r="19" spans="2:10" ht="24" x14ac:dyDescent="0.5">
      <c r="B19" s="43" t="s">
        <v>39</v>
      </c>
      <c r="E19" s="66">
        <f>' ปร.4 ลุกรัง'!F59</f>
        <v>911355.29399999999</v>
      </c>
      <c r="F19" s="66">
        <f>' ปร.4 ลุกรัง'!H59</f>
        <v>261442.508</v>
      </c>
      <c r="G19" s="66">
        <f t="shared" si="2"/>
        <v>1172797.8019999999</v>
      </c>
      <c r="H19" s="66">
        <f t="shared" si="5"/>
        <v>1143568.6229111999</v>
      </c>
      <c r="I19" s="66">
        <f t="shared" si="3"/>
        <v>328058.05903839995</v>
      </c>
      <c r="J19" s="66">
        <f t="shared" si="4"/>
        <v>1471626.6819495999</v>
      </c>
    </row>
    <row r="20" spans="2:10" ht="24" x14ac:dyDescent="0.5">
      <c r="B20" s="43" t="s">
        <v>64</v>
      </c>
      <c r="E20" s="66">
        <f>' ปร.4 ลุกรัง'!F67</f>
        <v>87907</v>
      </c>
      <c r="F20" s="66">
        <f>' ปร.4 ลุกรัง'!H67</f>
        <v>77050</v>
      </c>
      <c r="G20" s="66">
        <f t="shared" si="2"/>
        <v>164957</v>
      </c>
      <c r="H20" s="66">
        <f t="shared" si="5"/>
        <v>110305.70359999999</v>
      </c>
      <c r="I20" s="66">
        <f t="shared" si="3"/>
        <v>96682.34</v>
      </c>
      <c r="J20" s="66">
        <f t="shared" si="4"/>
        <v>206988.04359999998</v>
      </c>
    </row>
    <row r="21" spans="2:10" ht="24" x14ac:dyDescent="0.5">
      <c r="B21" s="43" t="s">
        <v>40</v>
      </c>
      <c r="E21" s="66" t="e">
        <f>' ปร.4 ลุกรัง'!#REF!</f>
        <v>#REF!</v>
      </c>
      <c r="F21" s="66" t="e">
        <f>' ปร.4 ลุกรัง'!#REF!</f>
        <v>#REF!</v>
      </c>
      <c r="G21" s="66" t="e">
        <f t="shared" si="2"/>
        <v>#REF!</v>
      </c>
      <c r="H21" s="66" t="e">
        <f t="shared" si="5"/>
        <v>#REF!</v>
      </c>
      <c r="I21" s="66" t="e">
        <f t="shared" si="3"/>
        <v>#REF!</v>
      </c>
      <c r="J21" s="66" t="e">
        <f t="shared" si="4"/>
        <v>#REF!</v>
      </c>
    </row>
    <row r="22" spans="2:10" ht="24" x14ac:dyDescent="0.5">
      <c r="B22" s="70" t="s">
        <v>56</v>
      </c>
      <c r="E22" s="66">
        <f>' ปร.4 ลุกรัง'!F202</f>
        <v>1113370.4660457268</v>
      </c>
      <c r="F22" s="66">
        <f>' ปร.4 ลุกรัง'!H202</f>
        <v>136161.5830634544</v>
      </c>
      <c r="G22" s="66">
        <f t="shared" si="2"/>
        <v>1249532.0491091812</v>
      </c>
      <c r="H22" s="66">
        <f t="shared" si="5"/>
        <v>1397057.2607941779</v>
      </c>
      <c r="I22" s="66">
        <f t="shared" si="3"/>
        <v>170855.55442802256</v>
      </c>
      <c r="J22" s="66">
        <f t="shared" si="4"/>
        <v>1567912.8152222005</v>
      </c>
    </row>
    <row r="23" spans="2:10" ht="24" x14ac:dyDescent="0.5">
      <c r="B23" s="70" t="s">
        <v>44</v>
      </c>
      <c r="E23" s="66" t="e">
        <f>#REF!</f>
        <v>#REF!</v>
      </c>
      <c r="F23" s="66" t="e">
        <f>#REF!</f>
        <v>#REF!</v>
      </c>
      <c r="G23" s="66" t="e">
        <f t="shared" si="2"/>
        <v>#REF!</v>
      </c>
      <c r="H23" s="66" t="e">
        <f t="shared" si="5"/>
        <v>#REF!</v>
      </c>
      <c r="I23" s="66" t="e">
        <f t="shared" si="3"/>
        <v>#REF!</v>
      </c>
      <c r="J23" s="66" t="e">
        <f t="shared" si="4"/>
        <v>#REF!</v>
      </c>
    </row>
    <row r="24" spans="2:10" ht="24" x14ac:dyDescent="0.5">
      <c r="B24" s="71" t="s">
        <v>63</v>
      </c>
      <c r="E24" s="66" t="e">
        <f>#REF!</f>
        <v>#REF!</v>
      </c>
      <c r="F24" s="66" t="e">
        <f>#REF!</f>
        <v>#REF!</v>
      </c>
      <c r="G24" s="66" t="e">
        <f t="shared" si="2"/>
        <v>#REF!</v>
      </c>
      <c r="H24" s="66" t="e">
        <f t="shared" si="5"/>
        <v>#REF!</v>
      </c>
      <c r="I24" s="66" t="e">
        <f t="shared" si="3"/>
        <v>#REF!</v>
      </c>
      <c r="J24" s="66" t="e">
        <f t="shared" si="4"/>
        <v>#REF!</v>
      </c>
    </row>
    <row r="25" spans="2:10" x14ac:dyDescent="0.5">
      <c r="E25" s="66" t="e">
        <f t="shared" ref="E25:J25" si="6">SUM(E16:E24)</f>
        <v>#REF!</v>
      </c>
      <c r="F25" s="66" t="e">
        <f t="shared" si="6"/>
        <v>#REF!</v>
      </c>
      <c r="G25" s="66" t="e">
        <f t="shared" si="6"/>
        <v>#REF!</v>
      </c>
      <c r="H25" s="66" t="e">
        <f t="shared" si="6"/>
        <v>#REF!</v>
      </c>
      <c r="I25" s="66" t="e">
        <f t="shared" si="6"/>
        <v>#REF!</v>
      </c>
      <c r="J25" s="66" t="e">
        <f t="shared" si="6"/>
        <v>#REF!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85"/>
  <sheetViews>
    <sheetView view="pageBreakPreview" zoomScale="60" zoomScaleNormal="60" zoomScalePageLayoutView="110" workbookViewId="0">
      <selection activeCell="K48" sqref="K1:T1048576"/>
    </sheetView>
  </sheetViews>
  <sheetFormatPr defaultColWidth="9.140625" defaultRowHeight="30.75" x14ac:dyDescent="0.7"/>
  <cols>
    <col min="1" max="1" width="12.85546875" style="235" customWidth="1"/>
    <col min="2" max="2" width="108.85546875" style="109" customWidth="1"/>
    <col min="3" max="3" width="21.5703125" style="369" customWidth="1"/>
    <col min="4" max="4" width="14.42578125" style="235" customWidth="1"/>
    <col min="5" max="5" width="21" style="109" customWidth="1"/>
    <col min="6" max="6" width="21.42578125" style="109" customWidth="1"/>
    <col min="7" max="7" width="24.5703125" style="109" customWidth="1"/>
    <col min="8" max="8" width="24.85546875" style="109" customWidth="1"/>
    <col min="9" max="9" width="28.42578125" style="109" customWidth="1"/>
    <col min="10" max="10" width="24.28515625" style="564" customWidth="1"/>
    <col min="11" max="11" width="15.42578125" style="470" bestFit="1" customWidth="1"/>
    <col min="12" max="12" width="6.7109375" style="594" customWidth="1"/>
    <col min="13" max="13" width="23.140625" style="594" bestFit="1" customWidth="1"/>
    <col min="14" max="14" width="15" style="594" bestFit="1" customWidth="1"/>
    <col min="15" max="15" width="25" style="594" bestFit="1" customWidth="1"/>
    <col min="16" max="16" width="12.7109375" style="594" bestFit="1" customWidth="1"/>
    <col min="17" max="20" width="9.140625" style="594"/>
    <col min="21" max="16384" width="9.140625" style="109"/>
  </cols>
  <sheetData>
    <row r="1" spans="1:20" x14ac:dyDescent="0.7">
      <c r="A1" s="648" t="s">
        <v>19</v>
      </c>
      <c r="B1" s="648"/>
      <c r="C1" s="648"/>
      <c r="D1" s="648"/>
      <c r="E1" s="648"/>
      <c r="F1" s="648"/>
      <c r="G1" s="648"/>
      <c r="H1" s="648"/>
      <c r="I1" s="648"/>
      <c r="J1" s="648"/>
      <c r="K1" s="592"/>
      <c r="L1" s="593"/>
      <c r="M1" s="593"/>
      <c r="N1" s="593"/>
    </row>
    <row r="2" spans="1:20" x14ac:dyDescent="0.7">
      <c r="A2" s="651" t="s">
        <v>145</v>
      </c>
      <c r="B2" s="651"/>
      <c r="C2" s="651"/>
      <c r="D2" s="651"/>
      <c r="E2" s="651"/>
      <c r="F2" s="110"/>
      <c r="G2" s="111"/>
      <c r="H2" s="112"/>
      <c r="I2" s="112"/>
      <c r="J2" s="529" t="s">
        <v>26</v>
      </c>
      <c r="K2" s="592"/>
      <c r="L2" s="593"/>
      <c r="M2" s="593"/>
      <c r="N2" s="593"/>
    </row>
    <row r="3" spans="1:20" x14ac:dyDescent="0.7">
      <c r="A3" s="645" t="s">
        <v>146</v>
      </c>
      <c r="B3" s="645"/>
      <c r="C3" s="645"/>
      <c r="D3" s="645"/>
      <c r="E3" s="645"/>
      <c r="F3" s="114"/>
      <c r="G3" s="114"/>
      <c r="H3" s="114"/>
      <c r="I3" s="113"/>
      <c r="J3" s="530"/>
      <c r="K3" s="592"/>
      <c r="L3" s="593"/>
      <c r="M3" s="593"/>
      <c r="N3" s="593"/>
    </row>
    <row r="4" spans="1:20" x14ac:dyDescent="0.7">
      <c r="A4" s="645" t="s">
        <v>147</v>
      </c>
      <c r="B4" s="645"/>
      <c r="C4" s="645"/>
      <c r="D4" s="645"/>
      <c r="E4" s="645"/>
      <c r="F4" s="645"/>
      <c r="G4" s="644" t="s">
        <v>18</v>
      </c>
      <c r="H4" s="644"/>
      <c r="I4" s="644"/>
      <c r="J4" s="530"/>
      <c r="K4" s="592"/>
      <c r="L4" s="593"/>
      <c r="M4" s="593"/>
      <c r="N4" s="593"/>
    </row>
    <row r="5" spans="1:20" x14ac:dyDescent="0.7">
      <c r="A5" s="644" t="s">
        <v>148</v>
      </c>
      <c r="B5" s="644"/>
      <c r="C5" s="644"/>
      <c r="D5" s="644"/>
      <c r="E5" s="113"/>
      <c r="F5" s="113"/>
      <c r="G5" s="114"/>
      <c r="H5" s="114"/>
      <c r="I5" s="113"/>
      <c r="J5" s="530"/>
      <c r="K5" s="595"/>
      <c r="L5" s="596"/>
      <c r="M5" s="596" t="s">
        <v>115</v>
      </c>
      <c r="N5" s="596" t="s">
        <v>111</v>
      </c>
      <c r="O5" s="597" t="e">
        <f>+#REF!</f>
        <v>#REF!</v>
      </c>
    </row>
    <row r="6" spans="1:20" x14ac:dyDescent="0.7">
      <c r="A6" s="644" t="s">
        <v>157</v>
      </c>
      <c r="B6" s="645"/>
      <c r="C6" s="353"/>
      <c r="D6" s="113"/>
      <c r="E6" s="115" t="s">
        <v>495</v>
      </c>
      <c r="F6" s="108"/>
      <c r="G6" s="113"/>
      <c r="H6" s="113"/>
      <c r="I6" s="113"/>
      <c r="J6" s="530"/>
      <c r="K6" s="598"/>
      <c r="M6" s="594" t="s">
        <v>114</v>
      </c>
      <c r="N6" s="593" t="s">
        <v>110</v>
      </c>
      <c r="O6" s="599">
        <v>17335590.940000001</v>
      </c>
    </row>
    <row r="7" spans="1:20" x14ac:dyDescent="0.7">
      <c r="A7" s="122"/>
      <c r="B7" s="120"/>
      <c r="C7" s="370"/>
      <c r="D7" s="120"/>
      <c r="E7" s="120"/>
      <c r="F7" s="120"/>
      <c r="G7" s="121"/>
      <c r="H7" s="122"/>
      <c r="I7" s="122"/>
      <c r="J7" s="531" t="s">
        <v>16</v>
      </c>
      <c r="K7" s="598"/>
      <c r="N7" s="593" t="s">
        <v>112</v>
      </c>
      <c r="O7" s="600" t="e">
        <f>+O5-O6</f>
        <v>#REF!</v>
      </c>
    </row>
    <row r="8" spans="1:20" s="127" customFormat="1" x14ac:dyDescent="0.7">
      <c r="A8" s="646" t="s">
        <v>0</v>
      </c>
      <c r="B8" s="646" t="s">
        <v>26</v>
      </c>
      <c r="C8" s="649" t="s">
        <v>3</v>
      </c>
      <c r="D8" s="650"/>
      <c r="E8" s="649" t="s">
        <v>4</v>
      </c>
      <c r="F8" s="650"/>
      <c r="G8" s="649" t="s">
        <v>5</v>
      </c>
      <c r="H8" s="650"/>
      <c r="I8" s="125" t="s">
        <v>6</v>
      </c>
      <c r="J8" s="652" t="s">
        <v>13</v>
      </c>
      <c r="K8" s="601"/>
      <c r="L8" s="469"/>
      <c r="M8" s="469"/>
      <c r="N8" s="602"/>
      <c r="O8" s="469"/>
      <c r="P8" s="469"/>
      <c r="Q8" s="469"/>
      <c r="R8" s="469"/>
      <c r="S8" s="469"/>
      <c r="T8" s="469"/>
    </row>
    <row r="9" spans="1:20" s="127" customFormat="1" x14ac:dyDescent="0.7">
      <c r="A9" s="647"/>
      <c r="B9" s="647"/>
      <c r="C9" s="354" t="s">
        <v>7</v>
      </c>
      <c r="D9" s="125" t="s">
        <v>8</v>
      </c>
      <c r="E9" s="125" t="s">
        <v>9</v>
      </c>
      <c r="F9" s="125" t="s">
        <v>2</v>
      </c>
      <c r="G9" s="125" t="s">
        <v>9</v>
      </c>
      <c r="H9" s="125" t="s">
        <v>2</v>
      </c>
      <c r="I9" s="125" t="s">
        <v>10</v>
      </c>
      <c r="J9" s="653"/>
      <c r="K9" s="603"/>
      <c r="L9" s="604"/>
      <c r="M9" s="605"/>
      <c r="N9" s="602"/>
      <c r="O9" s="469"/>
      <c r="P9" s="469"/>
      <c r="Q9" s="469"/>
      <c r="R9" s="469"/>
      <c r="S9" s="469"/>
      <c r="T9" s="469"/>
    </row>
    <row r="10" spans="1:20" x14ac:dyDescent="0.7">
      <c r="A10" s="176">
        <v>1</v>
      </c>
      <c r="B10" s="131" t="s">
        <v>463</v>
      </c>
      <c r="C10" s="355"/>
      <c r="D10" s="132"/>
      <c r="E10" s="133"/>
      <c r="F10" s="134"/>
      <c r="G10" s="133"/>
      <c r="H10" s="134"/>
      <c r="I10" s="134"/>
      <c r="J10" s="532"/>
      <c r="K10" s="592"/>
      <c r="L10" s="593"/>
      <c r="M10" s="593" t="s">
        <v>70</v>
      </c>
      <c r="N10" s="593"/>
    </row>
    <row r="11" spans="1:20" s="325" customFormat="1" x14ac:dyDescent="0.7">
      <c r="A11" s="253">
        <v>1.1000000000000001</v>
      </c>
      <c r="B11" s="182" t="s">
        <v>462</v>
      </c>
      <c r="C11" s="281">
        <v>155</v>
      </c>
      <c r="D11" s="187" t="s">
        <v>41</v>
      </c>
      <c r="E11" s="188"/>
      <c r="F11" s="186"/>
      <c r="G11" s="188">
        <v>77</v>
      </c>
      <c r="H11" s="137">
        <f>C11*G11</f>
        <v>11935</v>
      </c>
      <c r="I11" s="137">
        <f>SUM(F11,H11)</f>
        <v>11935</v>
      </c>
      <c r="J11" s="569"/>
      <c r="K11" s="592"/>
      <c r="L11" s="592"/>
      <c r="M11" s="592"/>
      <c r="N11" s="592"/>
      <c r="O11" s="470"/>
      <c r="P11" s="470"/>
      <c r="Q11" s="470"/>
      <c r="R11" s="470"/>
      <c r="S11" s="470"/>
      <c r="T11" s="470"/>
    </row>
    <row r="12" spans="1:20" s="147" customFormat="1" x14ac:dyDescent="0.7">
      <c r="A12" s="263">
        <v>1.2</v>
      </c>
      <c r="B12" s="136" t="s">
        <v>496</v>
      </c>
      <c r="C12" s="137">
        <f>17822*0.1</f>
        <v>1782.2</v>
      </c>
      <c r="D12" s="138" t="s">
        <v>24</v>
      </c>
      <c r="E12" s="139"/>
      <c r="F12" s="140">
        <f>C12*E12</f>
        <v>0</v>
      </c>
      <c r="G12" s="139">
        <v>25</v>
      </c>
      <c r="H12" s="137">
        <f>C12*G12</f>
        <v>44555</v>
      </c>
      <c r="I12" s="137">
        <f>SUM(F12,H12)</f>
        <v>44555</v>
      </c>
      <c r="J12" s="574"/>
      <c r="K12" s="606"/>
      <c r="L12" s="607" t="s">
        <v>68</v>
      </c>
      <c r="M12" s="608">
        <v>16000</v>
      </c>
      <c r="N12" s="609" t="s">
        <v>69</v>
      </c>
      <c r="O12" s="609" t="s">
        <v>92</v>
      </c>
      <c r="P12" s="610"/>
      <c r="Q12" s="610" t="s">
        <v>26</v>
      </c>
      <c r="R12" s="610"/>
      <c r="S12" s="610"/>
      <c r="T12" s="610"/>
    </row>
    <row r="13" spans="1:20" s="147" customFormat="1" x14ac:dyDescent="0.7">
      <c r="A13" s="253">
        <v>1.3</v>
      </c>
      <c r="B13" s="136" t="s">
        <v>468</v>
      </c>
      <c r="C13" s="148">
        <f>C12/10*10*2</f>
        <v>3564.4</v>
      </c>
      <c r="D13" s="138" t="s">
        <v>464</v>
      </c>
      <c r="E13" s="139"/>
      <c r="F13" s="149">
        <f>C13*E13</f>
        <v>0</v>
      </c>
      <c r="G13" s="139">
        <v>6</v>
      </c>
      <c r="H13" s="148">
        <f>C13*G13</f>
        <v>21386.400000000001</v>
      </c>
      <c r="I13" s="148">
        <f>SUM(F13,H13)</f>
        <v>21386.400000000001</v>
      </c>
      <c r="J13" s="572"/>
      <c r="K13" s="606"/>
      <c r="L13" s="610"/>
      <c r="M13" s="611"/>
      <c r="N13" s="612"/>
      <c r="O13" s="612"/>
      <c r="P13" s="610"/>
      <c r="Q13" s="610"/>
      <c r="R13" s="610"/>
      <c r="S13" s="610"/>
      <c r="T13" s="610"/>
    </row>
    <row r="14" spans="1:20" s="160" customFormat="1" ht="61.5" x14ac:dyDescent="0.7">
      <c r="A14" s="263">
        <v>1.4</v>
      </c>
      <c r="B14" s="136" t="s">
        <v>487</v>
      </c>
      <c r="C14" s="148">
        <v>1</v>
      </c>
      <c r="D14" s="138" t="s">
        <v>43</v>
      </c>
      <c r="E14" s="139"/>
      <c r="F14" s="148">
        <f>C14*E14</f>
        <v>0</v>
      </c>
      <c r="G14" s="139">
        <v>25000</v>
      </c>
      <c r="H14" s="567">
        <f>C14*G14</f>
        <v>25000</v>
      </c>
      <c r="I14" s="568">
        <f>SUM(F14,H14)</f>
        <v>25000</v>
      </c>
      <c r="J14" s="572"/>
      <c r="K14" s="592"/>
      <c r="L14" s="594"/>
      <c r="M14" s="613"/>
      <c r="N14" s="593"/>
      <c r="O14" s="593"/>
      <c r="P14" s="594"/>
      <c r="Q14" s="594"/>
      <c r="R14" s="594"/>
      <c r="S14" s="594"/>
      <c r="T14" s="594"/>
    </row>
    <row r="15" spans="1:20" s="170" customFormat="1" x14ac:dyDescent="0.7">
      <c r="A15" s="162"/>
      <c r="B15" s="163" t="s">
        <v>465</v>
      </c>
      <c r="C15" s="356"/>
      <c r="D15" s="164"/>
      <c r="E15" s="165"/>
      <c r="F15" s="356">
        <f>SUM(F12:F14)</f>
        <v>0</v>
      </c>
      <c r="G15" s="166"/>
      <c r="H15" s="356">
        <f>SUM(H12:H14)</f>
        <v>90941.4</v>
      </c>
      <c r="I15" s="356">
        <f>SUM(I11:I14)</f>
        <v>102876.4</v>
      </c>
      <c r="J15" s="533"/>
      <c r="K15" s="603"/>
      <c r="L15" s="594" t="s">
        <v>68</v>
      </c>
      <c r="M15" s="614" t="e">
        <f>+#REF!-M16-M20</f>
        <v>#REF!</v>
      </c>
      <c r="N15" s="593" t="s">
        <v>69</v>
      </c>
      <c r="O15" s="615" t="s">
        <v>94</v>
      </c>
      <c r="P15" s="616"/>
      <c r="Q15" s="616"/>
      <c r="R15" s="616"/>
      <c r="S15" s="616"/>
      <c r="T15" s="616"/>
    </row>
    <row r="16" spans="1:20" x14ac:dyDescent="0.7">
      <c r="A16" s="176">
        <v>2</v>
      </c>
      <c r="B16" s="131" t="s">
        <v>453</v>
      </c>
      <c r="C16" s="355"/>
      <c r="D16" s="132"/>
      <c r="E16" s="133"/>
      <c r="F16" s="134"/>
      <c r="G16" s="133"/>
      <c r="H16" s="134"/>
      <c r="I16" s="134"/>
      <c r="J16" s="532"/>
      <c r="K16" s="592"/>
      <c r="L16" s="593"/>
      <c r="M16" s="593" t="s">
        <v>70</v>
      </c>
      <c r="N16" s="593"/>
    </row>
    <row r="17" spans="1:20" s="503" customFormat="1" ht="61.5" x14ac:dyDescent="0.7">
      <c r="A17" s="528">
        <v>2.1</v>
      </c>
      <c r="B17" s="136" t="s">
        <v>469</v>
      </c>
      <c r="C17" s="137">
        <v>2069.1999999999998</v>
      </c>
      <c r="D17" s="138" t="s">
        <v>24</v>
      </c>
      <c r="E17" s="188"/>
      <c r="F17" s="281">
        <f t="shared" ref="F17:F19" si="0">C17*E17</f>
        <v>0</v>
      </c>
      <c r="G17" s="188">
        <f>99+35</f>
        <v>134</v>
      </c>
      <c r="H17" s="137">
        <f t="shared" ref="H17:H19" si="1">C17*G17</f>
        <v>277272.8</v>
      </c>
      <c r="I17" s="137">
        <f t="shared" ref="I17:I19" si="2">SUM(F17,H17)</f>
        <v>277272.8</v>
      </c>
      <c r="J17" s="571"/>
      <c r="K17" s="592"/>
      <c r="L17" s="617"/>
      <c r="M17" s="617"/>
      <c r="N17" s="617"/>
      <c r="O17" s="618"/>
      <c r="P17" s="618"/>
      <c r="Q17" s="618"/>
      <c r="R17" s="618"/>
      <c r="S17" s="618"/>
      <c r="T17" s="618"/>
    </row>
    <row r="18" spans="1:20" s="503" customFormat="1" x14ac:dyDescent="0.7">
      <c r="A18" s="528">
        <v>2.2000000000000002</v>
      </c>
      <c r="B18" s="152" t="s">
        <v>486</v>
      </c>
      <c r="C18" s="186">
        <f>1030*1.25</f>
        <v>1287.5</v>
      </c>
      <c r="D18" s="138" t="s">
        <v>24</v>
      </c>
      <c r="E18" s="188">
        <v>514</v>
      </c>
      <c r="F18" s="186">
        <f t="shared" si="0"/>
        <v>661775</v>
      </c>
      <c r="G18" s="188">
        <f>99+25</f>
        <v>124</v>
      </c>
      <c r="H18" s="140">
        <f t="shared" si="1"/>
        <v>159650</v>
      </c>
      <c r="I18" s="140">
        <f t="shared" si="2"/>
        <v>821425</v>
      </c>
      <c r="J18" s="569"/>
      <c r="K18" s="592"/>
      <c r="L18" s="617"/>
      <c r="M18" s="617"/>
      <c r="N18" s="617"/>
      <c r="O18" s="618"/>
      <c r="P18" s="618"/>
      <c r="Q18" s="618"/>
      <c r="R18" s="618"/>
      <c r="S18" s="618"/>
      <c r="T18" s="618"/>
    </row>
    <row r="19" spans="1:20" s="503" customFormat="1" x14ac:dyDescent="0.7">
      <c r="A19" s="528">
        <v>2.2999999999999998</v>
      </c>
      <c r="B19" s="152" t="s">
        <v>488</v>
      </c>
      <c r="C19" s="186">
        <f>1030*1.35</f>
        <v>1390.5</v>
      </c>
      <c r="D19" s="138" t="s">
        <v>24</v>
      </c>
      <c r="E19" s="188">
        <v>250</v>
      </c>
      <c r="F19" s="186">
        <f t="shared" si="0"/>
        <v>347625</v>
      </c>
      <c r="G19" s="188">
        <v>124</v>
      </c>
      <c r="H19" s="140">
        <f t="shared" si="1"/>
        <v>172422</v>
      </c>
      <c r="I19" s="140">
        <f t="shared" si="2"/>
        <v>520047</v>
      </c>
      <c r="J19" s="569"/>
      <c r="K19" s="592"/>
      <c r="L19" s="617"/>
      <c r="M19" s="617"/>
      <c r="N19" s="617"/>
      <c r="O19" s="618"/>
      <c r="P19" s="618"/>
      <c r="Q19" s="618"/>
      <c r="R19" s="618"/>
      <c r="S19" s="618"/>
      <c r="T19" s="618"/>
    </row>
    <row r="20" spans="1:20" s="147" customFormat="1" ht="32.25" customHeight="1" x14ac:dyDescent="0.7">
      <c r="A20" s="528">
        <v>2.4</v>
      </c>
      <c r="B20" s="136" t="s">
        <v>476</v>
      </c>
      <c r="C20" s="137">
        <f>10306*0.01</f>
        <v>103.06</v>
      </c>
      <c r="D20" s="138" t="s">
        <v>24</v>
      </c>
      <c r="E20" s="139">
        <v>514</v>
      </c>
      <c r="F20" s="140">
        <f t="shared" ref="F20" si="3">C20*E20</f>
        <v>52972.840000000004</v>
      </c>
      <c r="G20" s="139">
        <v>99</v>
      </c>
      <c r="H20" s="140">
        <f t="shared" ref="H20" si="4">C20*G20</f>
        <v>10202.94</v>
      </c>
      <c r="I20" s="140">
        <f t="shared" ref="I20" si="5">SUM(F20,H20)</f>
        <v>63175.780000000006</v>
      </c>
      <c r="J20" s="575"/>
      <c r="K20" s="606"/>
      <c r="L20" s="607"/>
      <c r="M20" s="608"/>
      <c r="N20" s="609"/>
      <c r="O20" s="609"/>
      <c r="P20" s="610"/>
      <c r="Q20" s="610"/>
      <c r="R20" s="610"/>
      <c r="S20" s="610"/>
      <c r="T20" s="610"/>
    </row>
    <row r="21" spans="1:20" s="147" customFormat="1" ht="36" hidden="1" customHeight="1" x14ac:dyDescent="0.7">
      <c r="A21" s="528">
        <v>2.5</v>
      </c>
      <c r="B21" s="136"/>
      <c r="C21" s="137"/>
      <c r="D21" s="138" t="s">
        <v>24</v>
      </c>
      <c r="E21" s="139">
        <v>492</v>
      </c>
      <c r="F21" s="140">
        <f t="shared" ref="F21" si="6">C21*E21</f>
        <v>0</v>
      </c>
      <c r="G21" s="450">
        <v>99</v>
      </c>
      <c r="H21" s="137">
        <f>C21*G21</f>
        <v>0</v>
      </c>
      <c r="I21" s="137">
        <f t="shared" ref="I21" si="7">SUM(F21,H21)</f>
        <v>0</v>
      </c>
      <c r="J21" s="572"/>
      <c r="K21" s="606"/>
      <c r="L21" s="607"/>
      <c r="M21" s="608"/>
      <c r="N21" s="609"/>
      <c r="O21" s="609"/>
      <c r="P21" s="610"/>
      <c r="Q21" s="610"/>
      <c r="R21" s="610"/>
      <c r="S21" s="610"/>
      <c r="T21" s="610"/>
    </row>
    <row r="22" spans="1:20" s="200" customFormat="1" x14ac:dyDescent="0.7">
      <c r="A22" s="528">
        <v>2.6</v>
      </c>
      <c r="B22" s="182" t="s">
        <v>497</v>
      </c>
      <c r="C22" s="186">
        <v>10346</v>
      </c>
      <c r="D22" s="187" t="s">
        <v>25</v>
      </c>
      <c r="E22" s="188">
        <v>42</v>
      </c>
      <c r="F22" s="186">
        <f t="shared" ref="F22" si="8">C22*E22</f>
        <v>434532</v>
      </c>
      <c r="G22" s="188">
        <v>10</v>
      </c>
      <c r="H22" s="186">
        <f t="shared" ref="H22" si="9">C22*G22</f>
        <v>103460</v>
      </c>
      <c r="I22" s="186">
        <f t="shared" ref="I22" si="10">SUM(F22,H22)</f>
        <v>537992</v>
      </c>
      <c r="J22" s="569"/>
      <c r="K22" s="592"/>
      <c r="L22" s="594" t="s">
        <v>68</v>
      </c>
      <c r="M22" s="614">
        <v>941</v>
      </c>
      <c r="N22" s="593" t="s">
        <v>69</v>
      </c>
      <c r="O22" s="594" t="s">
        <v>95</v>
      </c>
      <c r="P22" s="594"/>
      <c r="Q22" s="594"/>
      <c r="R22" s="594"/>
      <c r="S22" s="594"/>
      <c r="T22" s="594"/>
    </row>
    <row r="23" spans="1:20" x14ac:dyDescent="0.7">
      <c r="A23" s="162"/>
      <c r="B23" s="163" t="s">
        <v>74</v>
      </c>
      <c r="C23" s="356"/>
      <c r="D23" s="164"/>
      <c r="E23" s="165"/>
      <c r="F23" s="166">
        <f>SUM(F17:F22)</f>
        <v>1496904.84</v>
      </c>
      <c r="G23" s="166"/>
      <c r="H23" s="166">
        <f>SUM(H17:H22)</f>
        <v>723007.74</v>
      </c>
      <c r="I23" s="166">
        <f>SUM(I17:I22)</f>
        <v>2219912.58</v>
      </c>
      <c r="J23" s="533"/>
      <c r="K23" s="592"/>
      <c r="L23" s="594" t="s">
        <v>68</v>
      </c>
      <c r="M23" s="619">
        <f>16000-M22</f>
        <v>15059</v>
      </c>
      <c r="N23" s="593" t="s">
        <v>69</v>
      </c>
      <c r="O23" s="593" t="s">
        <v>93</v>
      </c>
    </row>
    <row r="24" spans="1:20" s="191" customFormat="1" x14ac:dyDescent="0.7">
      <c r="A24" s="176">
        <v>3</v>
      </c>
      <c r="B24" s="131" t="s">
        <v>37</v>
      </c>
      <c r="C24" s="355"/>
      <c r="D24" s="132"/>
      <c r="E24" s="133"/>
      <c r="F24" s="134"/>
      <c r="G24" s="133"/>
      <c r="H24" s="134"/>
      <c r="I24" s="134"/>
      <c r="J24" s="532"/>
      <c r="K24" s="592"/>
      <c r="L24" s="470" t="s">
        <v>68</v>
      </c>
      <c r="M24" s="620">
        <v>5800</v>
      </c>
      <c r="N24" s="592" t="s">
        <v>69</v>
      </c>
      <c r="O24" s="592" t="s">
        <v>72</v>
      </c>
      <c r="P24" s="470"/>
      <c r="Q24" s="470"/>
      <c r="R24" s="470"/>
      <c r="S24" s="470"/>
      <c r="T24" s="470"/>
    </row>
    <row r="25" spans="1:20" hidden="1" x14ac:dyDescent="0.7">
      <c r="A25" s="481"/>
      <c r="B25" s="482"/>
      <c r="C25" s="483"/>
      <c r="D25" s="484"/>
      <c r="E25" s="485"/>
      <c r="F25" s="483">
        <f t="shared" ref="F25:F30" si="11">C25*E25</f>
        <v>0</v>
      </c>
      <c r="G25" s="485"/>
      <c r="H25" s="483">
        <f t="shared" ref="H25:H31" si="12">C25*G25</f>
        <v>0</v>
      </c>
      <c r="I25" s="483">
        <f t="shared" ref="I25:I30" si="13">SUM(F25,H25)</f>
        <v>0</v>
      </c>
      <c r="J25" s="534"/>
      <c r="K25" s="592"/>
      <c r="L25" s="594" t="s">
        <v>68</v>
      </c>
      <c r="M25" s="619">
        <f>+M23-M24</f>
        <v>9259</v>
      </c>
      <c r="N25" s="593" t="s">
        <v>69</v>
      </c>
      <c r="O25" s="593" t="s">
        <v>71</v>
      </c>
    </row>
    <row r="26" spans="1:20" s="170" customFormat="1" ht="36.75" customHeight="1" x14ac:dyDescent="0.7">
      <c r="A26" s="263">
        <v>3.1</v>
      </c>
      <c r="B26" s="136" t="s">
        <v>470</v>
      </c>
      <c r="C26" s="137">
        <f>4731*0.2*1.3</f>
        <v>1230.0600000000002</v>
      </c>
      <c r="D26" s="138" t="s">
        <v>24</v>
      </c>
      <c r="E26" s="139"/>
      <c r="F26" s="137">
        <f t="shared" ref="F26" si="14">C26*E26</f>
        <v>0</v>
      </c>
      <c r="G26" s="139">
        <f>99+35</f>
        <v>134</v>
      </c>
      <c r="H26" s="137">
        <f t="shared" ref="H26" si="15">C26*G26</f>
        <v>164828.04000000004</v>
      </c>
      <c r="I26" s="137">
        <f t="shared" ref="I26" si="16">SUM(F26,H26)</f>
        <v>164828.04000000004</v>
      </c>
      <c r="J26" s="573"/>
      <c r="K26" s="603"/>
      <c r="L26" s="594" t="s">
        <v>68</v>
      </c>
      <c r="M26" s="614">
        <f>+M25-M27-M28</f>
        <v>6633</v>
      </c>
      <c r="N26" s="593" t="s">
        <v>69</v>
      </c>
      <c r="O26" s="615" t="s">
        <v>94</v>
      </c>
      <c r="P26" s="616"/>
      <c r="Q26" s="616"/>
      <c r="R26" s="616"/>
      <c r="S26" s="616"/>
      <c r="T26" s="616"/>
    </row>
    <row r="27" spans="1:20" x14ac:dyDescent="0.7">
      <c r="A27" s="253">
        <v>3.2</v>
      </c>
      <c r="B27" s="182" t="s">
        <v>471</v>
      </c>
      <c r="C27" s="186">
        <f>C31*0.15*1.3</f>
        <v>922.54499999999996</v>
      </c>
      <c r="D27" s="187" t="s">
        <v>24</v>
      </c>
      <c r="E27" s="188">
        <v>492</v>
      </c>
      <c r="F27" s="186">
        <f t="shared" si="11"/>
        <v>453892.13999999996</v>
      </c>
      <c r="G27" s="188">
        <f>99+35</f>
        <v>134</v>
      </c>
      <c r="H27" s="186">
        <f t="shared" si="12"/>
        <v>123621.03</v>
      </c>
      <c r="I27" s="186">
        <f t="shared" si="13"/>
        <v>577513.16999999993</v>
      </c>
      <c r="J27" s="569"/>
      <c r="K27" s="592"/>
      <c r="L27" s="594" t="s">
        <v>68</v>
      </c>
      <c r="M27" s="621">
        <v>1313</v>
      </c>
      <c r="N27" s="593" t="s">
        <v>69</v>
      </c>
      <c r="O27" s="615" t="s">
        <v>87</v>
      </c>
    </row>
    <row r="28" spans="1:20" s="200" customFormat="1" ht="18.75" hidden="1" customHeight="1" x14ac:dyDescent="0.7">
      <c r="A28" s="253">
        <v>3.2</v>
      </c>
      <c r="B28" s="182" t="s">
        <v>457</v>
      </c>
      <c r="C28" s="186">
        <v>4731</v>
      </c>
      <c r="D28" s="187" t="s">
        <v>25</v>
      </c>
      <c r="E28" s="188">
        <v>37.47</v>
      </c>
      <c r="F28" s="186">
        <f t="shared" si="11"/>
        <v>177270.57</v>
      </c>
      <c r="G28" s="188"/>
      <c r="H28" s="186">
        <f t="shared" si="12"/>
        <v>0</v>
      </c>
      <c r="I28" s="186">
        <f t="shared" si="13"/>
        <v>177270.57</v>
      </c>
      <c r="J28" s="569"/>
      <c r="K28" s="592"/>
      <c r="L28" s="594" t="s">
        <v>68</v>
      </c>
      <c r="M28" s="621">
        <v>1313</v>
      </c>
      <c r="N28" s="593" t="s">
        <v>69</v>
      </c>
      <c r="O28" s="615" t="s">
        <v>87</v>
      </c>
      <c r="P28" s="622"/>
      <c r="Q28" s="594"/>
      <c r="R28" s="594"/>
      <c r="S28" s="594"/>
      <c r="T28" s="594"/>
    </row>
    <row r="29" spans="1:20" s="516" customFormat="1" x14ac:dyDescent="0.7">
      <c r="A29" s="253">
        <v>3.3</v>
      </c>
      <c r="B29" s="182" t="s">
        <v>467</v>
      </c>
      <c r="C29" s="186">
        <v>4731</v>
      </c>
      <c r="D29" s="187" t="s">
        <v>25</v>
      </c>
      <c r="E29" s="188">
        <v>37.47</v>
      </c>
      <c r="F29" s="186">
        <f t="shared" si="11"/>
        <v>177270.57</v>
      </c>
      <c r="G29" s="188"/>
      <c r="H29" s="186">
        <f t="shared" si="12"/>
        <v>0</v>
      </c>
      <c r="I29" s="186">
        <f t="shared" si="13"/>
        <v>177270.57</v>
      </c>
      <c r="J29" s="569"/>
      <c r="K29" s="592"/>
      <c r="L29" s="623"/>
      <c r="M29" s="624"/>
      <c r="N29" s="625"/>
      <c r="O29" s="626"/>
      <c r="P29" s="623"/>
      <c r="Q29" s="623"/>
      <c r="R29" s="623"/>
      <c r="S29" s="623"/>
      <c r="T29" s="623"/>
    </row>
    <row r="30" spans="1:20" s="516" customFormat="1" x14ac:dyDescent="0.7">
      <c r="A30" s="253">
        <v>3.4</v>
      </c>
      <c r="B30" s="182" t="s">
        <v>466</v>
      </c>
      <c r="C30" s="186">
        <v>4731</v>
      </c>
      <c r="D30" s="187" t="s">
        <v>25</v>
      </c>
      <c r="E30" s="188">
        <v>233</v>
      </c>
      <c r="F30" s="186">
        <f t="shared" si="11"/>
        <v>1102323</v>
      </c>
      <c r="G30" s="188"/>
      <c r="H30" s="186">
        <f t="shared" si="12"/>
        <v>0</v>
      </c>
      <c r="I30" s="186">
        <f t="shared" si="13"/>
        <v>1102323</v>
      </c>
      <c r="J30" s="575"/>
      <c r="K30" s="592"/>
      <c r="L30" s="623"/>
      <c r="M30" s="624"/>
      <c r="N30" s="625"/>
      <c r="O30" s="626"/>
      <c r="P30" s="623"/>
      <c r="Q30" s="623"/>
      <c r="R30" s="623"/>
      <c r="S30" s="623"/>
      <c r="T30" s="623"/>
    </row>
    <row r="31" spans="1:20" ht="62.45" customHeight="1" x14ac:dyDescent="0.7">
      <c r="A31" s="278">
        <v>3.5</v>
      </c>
      <c r="B31" s="527" t="s">
        <v>477</v>
      </c>
      <c r="C31" s="281">
        <v>4731</v>
      </c>
      <c r="D31" s="187" t="s">
        <v>25</v>
      </c>
      <c r="E31" s="188">
        <v>1800</v>
      </c>
      <c r="F31" s="281">
        <f>C31*E31</f>
        <v>8515800</v>
      </c>
      <c r="G31" s="188">
        <v>200</v>
      </c>
      <c r="H31" s="281">
        <f t="shared" si="12"/>
        <v>946200</v>
      </c>
      <c r="I31" s="281">
        <f>SUM(F31,H31)</f>
        <v>9462000</v>
      </c>
      <c r="J31" s="573"/>
      <c r="K31" s="592"/>
      <c r="L31" s="593"/>
      <c r="M31" s="593"/>
      <c r="N31" s="593"/>
    </row>
    <row r="32" spans="1:20" ht="38.1" customHeight="1" x14ac:dyDescent="0.7">
      <c r="A32" s="172"/>
      <c r="B32" s="163" t="s">
        <v>73</v>
      </c>
      <c r="C32" s="357"/>
      <c r="D32" s="173"/>
      <c r="E32" s="174"/>
      <c r="F32" s="356">
        <f>SUM(F25:F31)</f>
        <v>10426556.279999999</v>
      </c>
      <c r="G32" s="165"/>
      <c r="H32" s="356">
        <f>SUM(H25:H31)</f>
        <v>1234649.07</v>
      </c>
      <c r="I32" s="356">
        <f>SUM(I25:I31)</f>
        <v>11661205.35</v>
      </c>
      <c r="J32" s="536"/>
      <c r="K32" s="592"/>
      <c r="L32" s="593"/>
      <c r="M32" s="627">
        <v>9258210</v>
      </c>
      <c r="N32" s="593"/>
      <c r="O32" s="628">
        <v>2804683.83</v>
      </c>
    </row>
    <row r="33" spans="1:20" ht="30.75" customHeight="1" x14ac:dyDescent="0.7">
      <c r="A33" s="176">
        <v>4</v>
      </c>
      <c r="B33" s="131" t="s">
        <v>91</v>
      </c>
      <c r="C33" s="355"/>
      <c r="D33" s="132"/>
      <c r="E33" s="133"/>
      <c r="F33" s="134"/>
      <c r="G33" s="133"/>
      <c r="H33" s="134"/>
      <c r="I33" s="134"/>
      <c r="J33" s="532"/>
      <c r="K33" s="592"/>
      <c r="L33" s="593"/>
      <c r="M33" s="627"/>
      <c r="N33" s="593"/>
      <c r="O33" s="628"/>
    </row>
    <row r="34" spans="1:20" x14ac:dyDescent="0.7">
      <c r="A34" s="264">
        <v>4.0999999999999996</v>
      </c>
      <c r="B34" s="152" t="s">
        <v>471</v>
      </c>
      <c r="C34" s="140">
        <f>941*0.15*1.3</f>
        <v>183.495</v>
      </c>
      <c r="D34" s="138" t="s">
        <v>24</v>
      </c>
      <c r="E34" s="188">
        <v>492</v>
      </c>
      <c r="F34" s="149">
        <f>C34*E34</f>
        <v>90279.540000000008</v>
      </c>
      <c r="G34" s="139">
        <f>99+35</f>
        <v>134</v>
      </c>
      <c r="H34" s="140">
        <f>C34*G34</f>
        <v>24588.33</v>
      </c>
      <c r="I34" s="140">
        <f>SUM(F34,H34)</f>
        <v>114867.87000000001</v>
      </c>
      <c r="J34" s="569"/>
      <c r="K34" s="592"/>
      <c r="L34" s="593"/>
      <c r="M34" s="629">
        <f>I31-M32</f>
        <v>203790</v>
      </c>
      <c r="N34" s="593"/>
      <c r="O34" s="630">
        <f>O32-M34</f>
        <v>2600893.83</v>
      </c>
    </row>
    <row r="35" spans="1:20" ht="23.25" hidden="1" customHeight="1" x14ac:dyDescent="0.7">
      <c r="A35" s="264">
        <v>4.2</v>
      </c>
      <c r="B35" s="152" t="s">
        <v>96</v>
      </c>
      <c r="C35" s="140">
        <f>897*0.05</f>
        <v>44.85</v>
      </c>
      <c r="D35" s="138" t="s">
        <v>24</v>
      </c>
      <c r="E35" s="139">
        <v>500</v>
      </c>
      <c r="F35" s="140">
        <f>C35*E35</f>
        <v>22425</v>
      </c>
      <c r="G35" s="139">
        <v>50</v>
      </c>
      <c r="H35" s="140">
        <f>C35*G35</f>
        <v>2242.5</v>
      </c>
      <c r="I35" s="140">
        <f>SUM(F35,H35)</f>
        <v>24667.5</v>
      </c>
      <c r="J35" s="570"/>
      <c r="K35" s="592"/>
      <c r="L35" s="593"/>
      <c r="M35" s="631" t="s">
        <v>158</v>
      </c>
      <c r="N35" s="593"/>
    </row>
    <row r="36" spans="1:20" s="191" customFormat="1" x14ac:dyDescent="0.7">
      <c r="A36" s="253">
        <v>4.2</v>
      </c>
      <c r="B36" s="182" t="s">
        <v>489</v>
      </c>
      <c r="C36" s="186">
        <v>941</v>
      </c>
      <c r="D36" s="187" t="s">
        <v>25</v>
      </c>
      <c r="E36" s="188">
        <v>40</v>
      </c>
      <c r="F36" s="186">
        <f>C36*E36</f>
        <v>37640</v>
      </c>
      <c r="G36" s="188">
        <v>34</v>
      </c>
      <c r="H36" s="186">
        <f>C36*G36</f>
        <v>31994</v>
      </c>
      <c r="I36" s="186">
        <f>SUM(F36,H36)</f>
        <v>69634</v>
      </c>
      <c r="J36" s="569"/>
      <c r="K36" s="592"/>
      <c r="L36" s="592"/>
      <c r="M36" s="592"/>
      <c r="N36" s="592"/>
      <c r="O36" s="470"/>
      <c r="P36" s="470"/>
      <c r="Q36" s="470"/>
      <c r="R36" s="470"/>
      <c r="S36" s="470"/>
      <c r="T36" s="470"/>
    </row>
    <row r="37" spans="1:20" x14ac:dyDescent="0.7">
      <c r="A37" s="264">
        <v>4.3</v>
      </c>
      <c r="B37" s="152" t="s">
        <v>466</v>
      </c>
      <c r="C37" s="140">
        <v>941</v>
      </c>
      <c r="D37" s="138" t="s">
        <v>25</v>
      </c>
      <c r="E37" s="139">
        <v>233</v>
      </c>
      <c r="F37" s="149">
        <f>C37*E37</f>
        <v>219253</v>
      </c>
      <c r="G37" s="139"/>
      <c r="H37" s="149">
        <f>C37*G37</f>
        <v>0</v>
      </c>
      <c r="I37" s="149">
        <f>SUM(F37,H37)</f>
        <v>219253</v>
      </c>
      <c r="J37" s="576"/>
      <c r="K37" s="632" t="s">
        <v>159</v>
      </c>
      <c r="L37" s="593"/>
      <c r="M37" s="593"/>
      <c r="N37" s="593"/>
    </row>
    <row r="38" spans="1:20" s="181" customFormat="1" x14ac:dyDescent="0.7">
      <c r="A38" s="172"/>
      <c r="B38" s="163" t="s">
        <v>90</v>
      </c>
      <c r="C38" s="357"/>
      <c r="D38" s="173"/>
      <c r="E38" s="174"/>
      <c r="F38" s="166">
        <f>SUM(F34:F37)</f>
        <v>369597.54000000004</v>
      </c>
      <c r="G38" s="166"/>
      <c r="H38" s="166">
        <f>SUM(H34:H37)</f>
        <v>58824.83</v>
      </c>
      <c r="I38" s="166">
        <f>SUM(I34:I37)</f>
        <v>428422.37</v>
      </c>
      <c r="J38" s="538"/>
      <c r="K38" s="592"/>
      <c r="L38" s="633"/>
      <c r="M38" s="633"/>
      <c r="N38" s="633"/>
      <c r="O38" s="634"/>
      <c r="P38" s="634"/>
      <c r="Q38" s="634"/>
      <c r="R38" s="634"/>
      <c r="S38" s="634"/>
      <c r="T38" s="634"/>
    </row>
    <row r="39" spans="1:20" x14ac:dyDescent="0.7">
      <c r="A39" s="176">
        <v>5</v>
      </c>
      <c r="B39" s="131" t="s">
        <v>38</v>
      </c>
      <c r="C39" s="355"/>
      <c r="D39" s="132"/>
      <c r="E39" s="133"/>
      <c r="F39" s="134"/>
      <c r="G39" s="133"/>
      <c r="H39" s="134"/>
      <c r="I39" s="134"/>
      <c r="J39" s="532"/>
      <c r="K39" s="592"/>
      <c r="L39" s="593"/>
      <c r="M39" s="593"/>
      <c r="N39" s="593"/>
    </row>
    <row r="40" spans="1:20" x14ac:dyDescent="0.7">
      <c r="A40" s="260">
        <v>5.0999999999999996</v>
      </c>
      <c r="B40" s="182" t="s">
        <v>478</v>
      </c>
      <c r="C40" s="186">
        <f>397*0.7*0.6</f>
        <v>166.73999999999998</v>
      </c>
      <c r="D40" s="187" t="s">
        <v>24</v>
      </c>
      <c r="E40" s="188"/>
      <c r="F40" s="186">
        <f>C40*E40</f>
        <v>0</v>
      </c>
      <c r="G40" s="139">
        <v>121</v>
      </c>
      <c r="H40" s="140">
        <f>C40*G40</f>
        <v>20175.539999999997</v>
      </c>
      <c r="I40" s="140">
        <f>SUM(F40,H40)</f>
        <v>20175.539999999997</v>
      </c>
      <c r="J40" s="535"/>
      <c r="K40" s="592"/>
      <c r="L40" s="593"/>
      <c r="M40" s="593"/>
      <c r="N40" s="593"/>
    </row>
    <row r="41" spans="1:20" x14ac:dyDescent="0.7">
      <c r="A41" s="260">
        <v>5.2</v>
      </c>
      <c r="B41" s="182" t="s">
        <v>303</v>
      </c>
      <c r="C41" s="186">
        <v>397</v>
      </c>
      <c r="D41" s="187" t="s">
        <v>41</v>
      </c>
      <c r="E41" s="188">
        <v>1000</v>
      </c>
      <c r="F41" s="186">
        <f>C41*E41</f>
        <v>397000</v>
      </c>
      <c r="G41" s="188">
        <v>250</v>
      </c>
      <c r="H41" s="140">
        <f>C41*G41</f>
        <v>99250</v>
      </c>
      <c r="I41" s="140">
        <f>SUM(F41,H41)</f>
        <v>496250</v>
      </c>
      <c r="J41" s="537"/>
      <c r="K41" s="592" t="s">
        <v>480</v>
      </c>
      <c r="L41" s="593"/>
      <c r="M41" s="593"/>
      <c r="N41" s="593"/>
    </row>
    <row r="42" spans="1:20" x14ac:dyDescent="0.7">
      <c r="A42" s="260">
        <v>5.3</v>
      </c>
      <c r="B42" s="182" t="s">
        <v>376</v>
      </c>
      <c r="C42" s="225">
        <f>(397*0.1*0.6)+(0.5*0.1*397)+(397*0.1*0.3)</f>
        <v>55.58</v>
      </c>
      <c r="D42" s="187" t="s">
        <v>24</v>
      </c>
      <c r="E42" s="288">
        <v>2216.62</v>
      </c>
      <c r="F42" s="186">
        <f t="shared" ref="F42:F46" si="17">C42*E42</f>
        <v>123199.73959999999</v>
      </c>
      <c r="G42" s="139">
        <v>329</v>
      </c>
      <c r="H42" s="149">
        <f t="shared" ref="H42:H46" si="18">C42*G42</f>
        <v>18285.82</v>
      </c>
      <c r="I42" s="149">
        <f t="shared" ref="I42:I46" si="19">SUM(F42,H42)</f>
        <v>141485.55959999998</v>
      </c>
      <c r="J42" s="537"/>
      <c r="K42" s="592"/>
      <c r="L42" s="593"/>
      <c r="M42" s="593"/>
      <c r="N42" s="593"/>
    </row>
    <row r="43" spans="1:20" x14ac:dyDescent="0.7">
      <c r="A43" s="260">
        <v>5.4</v>
      </c>
      <c r="B43" s="283" t="s">
        <v>99</v>
      </c>
      <c r="C43" s="225">
        <f>(397*(0.5+0.6+0.3))</f>
        <v>555.80000000000007</v>
      </c>
      <c r="D43" s="187" t="s">
        <v>25</v>
      </c>
      <c r="E43" s="188">
        <v>42.5</v>
      </c>
      <c r="F43" s="186">
        <f t="shared" si="17"/>
        <v>23621.500000000004</v>
      </c>
      <c r="G43" s="139">
        <v>5</v>
      </c>
      <c r="H43" s="140">
        <f t="shared" si="18"/>
        <v>2779.0000000000005</v>
      </c>
      <c r="I43" s="140">
        <f t="shared" si="19"/>
        <v>26400.500000000004</v>
      </c>
      <c r="J43" s="537"/>
      <c r="K43" s="592"/>
      <c r="L43" s="593"/>
      <c r="M43" s="593"/>
      <c r="N43" s="593"/>
    </row>
    <row r="44" spans="1:20" x14ac:dyDescent="0.7">
      <c r="A44" s="260">
        <v>5.5</v>
      </c>
      <c r="B44" s="283" t="s">
        <v>485</v>
      </c>
      <c r="C44" s="186">
        <f>(397)*((0.9)+(0.5))*0.5</f>
        <v>277.89999999999998</v>
      </c>
      <c r="D44" s="187" t="s">
        <v>25</v>
      </c>
      <c r="E44" s="188">
        <v>400</v>
      </c>
      <c r="F44" s="186">
        <f t="shared" si="17"/>
        <v>111159.99999999999</v>
      </c>
      <c r="G44" s="139">
        <v>163</v>
      </c>
      <c r="H44" s="149">
        <f t="shared" si="18"/>
        <v>45297.7</v>
      </c>
      <c r="I44" s="149">
        <f t="shared" si="19"/>
        <v>156457.69999999998</v>
      </c>
      <c r="J44" s="537"/>
      <c r="K44" s="592"/>
      <c r="L44" s="593"/>
      <c r="M44" s="593"/>
      <c r="N44" s="593"/>
    </row>
    <row r="45" spans="1:20" x14ac:dyDescent="0.7">
      <c r="A45" s="260">
        <v>5.6</v>
      </c>
      <c r="B45" s="283" t="s">
        <v>96</v>
      </c>
      <c r="C45" s="186">
        <f>0.5*0.05*397*1.25</f>
        <v>12.40625</v>
      </c>
      <c r="D45" s="187" t="s">
        <v>24</v>
      </c>
      <c r="E45" s="188">
        <v>514</v>
      </c>
      <c r="F45" s="186">
        <f t="shared" si="17"/>
        <v>6376.8125</v>
      </c>
      <c r="G45" s="139">
        <v>112</v>
      </c>
      <c r="H45" s="149">
        <f t="shared" si="18"/>
        <v>1389.5</v>
      </c>
      <c r="I45" s="149">
        <f t="shared" si="19"/>
        <v>7766.3125</v>
      </c>
      <c r="J45" s="537"/>
      <c r="K45" s="592"/>
      <c r="L45" s="593" t="s">
        <v>76</v>
      </c>
      <c r="M45" s="602">
        <v>396</v>
      </c>
      <c r="N45" s="593" t="s">
        <v>77</v>
      </c>
    </row>
    <row r="46" spans="1:20" x14ac:dyDescent="0.7">
      <c r="A46" s="260">
        <v>5.7</v>
      </c>
      <c r="B46" s="277" t="s">
        <v>360</v>
      </c>
      <c r="C46" s="186">
        <f>0.5*0.05*397</f>
        <v>9.9250000000000007</v>
      </c>
      <c r="D46" s="138" t="s">
        <v>24</v>
      </c>
      <c r="E46" s="139">
        <v>2121.5</v>
      </c>
      <c r="F46" s="149">
        <f t="shared" si="17"/>
        <v>21055.887500000001</v>
      </c>
      <c r="G46" s="139">
        <v>329</v>
      </c>
      <c r="H46" s="149">
        <f t="shared" si="18"/>
        <v>3265.3250000000003</v>
      </c>
      <c r="I46" s="149">
        <f t="shared" si="19"/>
        <v>24321.212500000001</v>
      </c>
      <c r="J46" s="537"/>
      <c r="K46" s="592"/>
      <c r="L46" s="593"/>
      <c r="M46" s="602"/>
      <c r="N46" s="593"/>
    </row>
    <row r="47" spans="1:20" x14ac:dyDescent="0.7">
      <c r="A47" s="162"/>
      <c r="B47" s="163" t="s">
        <v>75</v>
      </c>
      <c r="C47" s="356"/>
      <c r="D47" s="164"/>
      <c r="E47" s="165"/>
      <c r="F47" s="166">
        <f>SUM(F40:F45)</f>
        <v>661358.05209999997</v>
      </c>
      <c r="G47" s="165"/>
      <c r="H47" s="166">
        <f>SUM(H40:H45)</f>
        <v>187177.56</v>
      </c>
      <c r="I47" s="166">
        <f>SUM(I40:I46)</f>
        <v>872856.82459999993</v>
      </c>
      <c r="J47" s="533"/>
      <c r="K47" s="592"/>
      <c r="L47" s="593"/>
      <c r="M47" s="593"/>
      <c r="N47" s="593"/>
    </row>
    <row r="48" spans="1:20" x14ac:dyDescent="0.7">
      <c r="A48" s="176">
        <v>6</v>
      </c>
      <c r="B48" s="131" t="s">
        <v>366</v>
      </c>
      <c r="C48" s="355"/>
      <c r="D48" s="132"/>
      <c r="E48" s="133"/>
      <c r="F48" s="134"/>
      <c r="G48" s="133"/>
      <c r="H48" s="134"/>
      <c r="I48" s="134"/>
      <c r="J48" s="532"/>
      <c r="K48" s="592"/>
      <c r="L48" s="593"/>
      <c r="M48" s="593"/>
      <c r="N48" s="593"/>
    </row>
    <row r="49" spans="1:20" x14ac:dyDescent="0.7">
      <c r="A49" s="253">
        <v>6.1</v>
      </c>
      <c r="B49" s="182" t="s">
        <v>479</v>
      </c>
      <c r="C49" s="186">
        <f>493*((0.6+0.1)*(0.65+0.1))</f>
        <v>258.82499999999993</v>
      </c>
      <c r="D49" s="138" t="s">
        <v>24</v>
      </c>
      <c r="E49" s="188"/>
      <c r="F49" s="186">
        <f t="shared" ref="F49:F56" si="20">C49*E49</f>
        <v>0</v>
      </c>
      <c r="G49" s="188">
        <v>121</v>
      </c>
      <c r="H49" s="186">
        <f t="shared" ref="H49:H56" si="21">C49*G49</f>
        <v>31317.824999999993</v>
      </c>
      <c r="I49" s="186">
        <f t="shared" ref="I49" si="22">SUM(F49,H49)</f>
        <v>31317.824999999993</v>
      </c>
      <c r="J49" s="535"/>
      <c r="K49" s="592"/>
      <c r="L49" s="593"/>
      <c r="M49" s="593"/>
      <c r="N49" s="593"/>
    </row>
    <row r="50" spans="1:20" x14ac:dyDescent="0.7">
      <c r="A50" s="253">
        <v>6.2</v>
      </c>
      <c r="B50" s="283" t="s">
        <v>263</v>
      </c>
      <c r="C50" s="225">
        <f>493*0.15</f>
        <v>73.95</v>
      </c>
      <c r="D50" s="289" t="s">
        <v>24</v>
      </c>
      <c r="E50" s="288">
        <v>2216.62</v>
      </c>
      <c r="F50" s="225">
        <f t="shared" si="20"/>
        <v>163919.049</v>
      </c>
      <c r="G50" s="139">
        <v>329</v>
      </c>
      <c r="H50" s="225">
        <f t="shared" si="21"/>
        <v>24329.55</v>
      </c>
      <c r="I50" s="292">
        <f t="shared" ref="I50" si="23">F50+H50</f>
        <v>188248.59899999999</v>
      </c>
      <c r="J50" s="537"/>
      <c r="K50" s="592"/>
      <c r="L50" s="593"/>
      <c r="M50" s="593"/>
      <c r="N50" s="593"/>
    </row>
    <row r="51" spans="1:20" x14ac:dyDescent="0.7">
      <c r="A51" s="253">
        <v>6.4</v>
      </c>
      <c r="B51" s="182" t="s">
        <v>313</v>
      </c>
      <c r="C51" s="225">
        <f>1.95*(493/0.2*0.222*1.05)</f>
        <v>1120.4534249999999</v>
      </c>
      <c r="D51" s="187" t="s">
        <v>35</v>
      </c>
      <c r="E51" s="345">
        <v>21.26</v>
      </c>
      <c r="F51" s="290">
        <f t="shared" si="20"/>
        <v>23820.8398155</v>
      </c>
      <c r="G51" s="345">
        <v>4.4000000000000004</v>
      </c>
      <c r="H51" s="290">
        <f t="shared" si="21"/>
        <v>4929.9950699999999</v>
      </c>
      <c r="I51" s="290">
        <f t="shared" ref="I51:I56" si="24">SUM(F51,H51)</f>
        <v>28750.8348855</v>
      </c>
      <c r="J51" s="537"/>
      <c r="K51" s="592"/>
      <c r="L51" s="593"/>
      <c r="M51" s="593"/>
      <c r="N51" s="593"/>
    </row>
    <row r="52" spans="1:20" x14ac:dyDescent="0.7">
      <c r="A52" s="253">
        <v>6.5</v>
      </c>
      <c r="B52" s="182" t="s">
        <v>260</v>
      </c>
      <c r="C52" s="186">
        <f>(7*493)*0.888*1.09</f>
        <v>3340.2919200000001</v>
      </c>
      <c r="D52" s="187" t="s">
        <v>35</v>
      </c>
      <c r="E52" s="345">
        <v>22.89</v>
      </c>
      <c r="F52" s="290">
        <f t="shared" si="20"/>
        <v>76459.2820488</v>
      </c>
      <c r="G52" s="345">
        <v>3.6</v>
      </c>
      <c r="H52" s="290">
        <f t="shared" si="21"/>
        <v>12025.050912000001</v>
      </c>
      <c r="I52" s="290">
        <f t="shared" si="24"/>
        <v>88484.332960800006</v>
      </c>
      <c r="J52" s="537"/>
      <c r="K52" s="592"/>
      <c r="L52" s="593"/>
      <c r="M52" s="593"/>
      <c r="N52" s="593"/>
    </row>
    <row r="53" spans="1:20" s="170" customFormat="1" x14ac:dyDescent="0.7">
      <c r="A53" s="253">
        <v>6.6</v>
      </c>
      <c r="B53" s="182" t="s">
        <v>335</v>
      </c>
      <c r="C53" s="186">
        <f>493*0.5</f>
        <v>246.5</v>
      </c>
      <c r="D53" s="187" t="s">
        <v>25</v>
      </c>
      <c r="E53" s="188">
        <v>400</v>
      </c>
      <c r="F53" s="225">
        <f t="shared" si="20"/>
        <v>98600</v>
      </c>
      <c r="G53" s="139">
        <v>163</v>
      </c>
      <c r="H53" s="225">
        <f t="shared" si="21"/>
        <v>40179.5</v>
      </c>
      <c r="I53" s="204">
        <f t="shared" si="24"/>
        <v>138779.5</v>
      </c>
      <c r="J53" s="535"/>
      <c r="K53" s="603"/>
      <c r="L53" s="635"/>
      <c r="M53" s="635" t="s">
        <v>26</v>
      </c>
      <c r="N53" s="635"/>
      <c r="O53" s="616"/>
      <c r="P53" s="616"/>
      <c r="Q53" s="616"/>
      <c r="R53" s="616"/>
      <c r="S53" s="616"/>
      <c r="T53" s="616"/>
    </row>
    <row r="54" spans="1:20" s="351" customFormat="1" x14ac:dyDescent="0.7">
      <c r="A54" s="253">
        <v>6.7</v>
      </c>
      <c r="B54" s="182" t="s">
        <v>96</v>
      </c>
      <c r="C54" s="225">
        <f>0.65*0.05*493*1.25</f>
        <v>20.028125000000003</v>
      </c>
      <c r="D54" s="289" t="s">
        <v>24</v>
      </c>
      <c r="E54" s="345">
        <v>514</v>
      </c>
      <c r="F54" s="225">
        <f t="shared" si="20"/>
        <v>10294.456250000001</v>
      </c>
      <c r="G54" s="139">
        <v>112</v>
      </c>
      <c r="H54" s="225">
        <f t="shared" si="21"/>
        <v>2243.1500000000005</v>
      </c>
      <c r="I54" s="204">
        <f t="shared" si="24"/>
        <v>12537.606250000001</v>
      </c>
      <c r="J54" s="535"/>
      <c r="K54" s="592"/>
      <c r="L54" s="636"/>
      <c r="M54" s="636"/>
      <c r="N54" s="636"/>
      <c r="O54" s="637"/>
      <c r="P54" s="637"/>
      <c r="Q54" s="637"/>
      <c r="R54" s="637"/>
      <c r="S54" s="637"/>
      <c r="T54" s="637"/>
    </row>
    <row r="55" spans="1:20" x14ac:dyDescent="0.7">
      <c r="A55" s="253">
        <v>6.8</v>
      </c>
      <c r="B55" s="182" t="s">
        <v>360</v>
      </c>
      <c r="C55" s="225">
        <f>0.65*0.05*493</f>
        <v>16.022500000000001</v>
      </c>
      <c r="D55" s="289" t="s">
        <v>24</v>
      </c>
      <c r="E55" s="345">
        <v>2121.5</v>
      </c>
      <c r="F55" s="225">
        <f t="shared" si="20"/>
        <v>33991.733749999999</v>
      </c>
      <c r="G55" s="345">
        <v>329</v>
      </c>
      <c r="H55" s="225">
        <f t="shared" si="21"/>
        <v>5271.4025000000001</v>
      </c>
      <c r="I55" s="204">
        <f t="shared" si="24"/>
        <v>39263.136249999996</v>
      </c>
      <c r="J55" s="539"/>
      <c r="K55" s="592"/>
      <c r="L55" s="593" t="s">
        <v>76</v>
      </c>
      <c r="M55" s="602">
        <v>493</v>
      </c>
      <c r="N55" s="593" t="s">
        <v>77</v>
      </c>
    </row>
    <row r="56" spans="1:20" s="191" customFormat="1" x14ac:dyDescent="0.7">
      <c r="A56" s="253">
        <v>6.9</v>
      </c>
      <c r="B56" s="182" t="s">
        <v>475</v>
      </c>
      <c r="C56" s="186">
        <v>493</v>
      </c>
      <c r="D56" s="187" t="s">
        <v>41</v>
      </c>
      <c r="E56" s="188">
        <v>700</v>
      </c>
      <c r="F56" s="186">
        <f t="shared" si="20"/>
        <v>345100</v>
      </c>
      <c r="G56" s="188">
        <v>250</v>
      </c>
      <c r="H56" s="186">
        <f t="shared" si="21"/>
        <v>123250</v>
      </c>
      <c r="I56" s="186">
        <f t="shared" si="24"/>
        <v>468350</v>
      </c>
      <c r="J56" s="537"/>
      <c r="K56" s="592"/>
      <c r="L56" s="592"/>
      <c r="M56" s="638"/>
      <c r="N56" s="592"/>
      <c r="O56" s="470"/>
      <c r="P56" s="470"/>
      <c r="Q56" s="470"/>
      <c r="R56" s="470"/>
      <c r="S56" s="470"/>
      <c r="T56" s="470"/>
    </row>
    <row r="57" spans="1:20" s="191" customFormat="1" x14ac:dyDescent="0.7">
      <c r="A57" s="162"/>
      <c r="B57" s="163" t="s">
        <v>80</v>
      </c>
      <c r="C57" s="356"/>
      <c r="D57" s="164"/>
      <c r="E57" s="165"/>
      <c r="F57" s="166">
        <f>SUM(F49:F56)</f>
        <v>752185.36086430005</v>
      </c>
      <c r="G57" s="165"/>
      <c r="H57" s="166">
        <f>SUM(H49:H56)</f>
        <v>243546.473482</v>
      </c>
      <c r="I57" s="166">
        <f>SUM(I49:I56)</f>
        <v>995731.83434629999</v>
      </c>
      <c r="J57" s="533"/>
      <c r="K57" s="592"/>
      <c r="L57" s="592"/>
      <c r="M57" s="638"/>
      <c r="N57" s="592"/>
      <c r="O57" s="470"/>
      <c r="P57" s="470"/>
      <c r="Q57" s="470"/>
      <c r="R57" s="470"/>
      <c r="S57" s="470"/>
      <c r="T57" s="470"/>
    </row>
    <row r="58" spans="1:20" s="191" customFormat="1" x14ac:dyDescent="0.7">
      <c r="A58" s="176">
        <v>7</v>
      </c>
      <c r="B58" s="131" t="s">
        <v>81</v>
      </c>
      <c r="C58" s="355"/>
      <c r="D58" s="132"/>
      <c r="E58" s="133"/>
      <c r="F58" s="134"/>
      <c r="G58" s="133"/>
      <c r="H58" s="134"/>
      <c r="I58" s="134"/>
      <c r="J58" s="532"/>
      <c r="K58" s="592"/>
      <c r="L58" s="592"/>
      <c r="M58" s="638"/>
      <c r="N58" s="592"/>
      <c r="O58" s="470"/>
      <c r="P58" s="470"/>
      <c r="Q58" s="470"/>
      <c r="R58" s="470"/>
      <c r="S58" s="470"/>
      <c r="T58" s="470"/>
    </row>
    <row r="59" spans="1:20" s="191" customFormat="1" x14ac:dyDescent="0.7">
      <c r="A59" s="264">
        <v>7.1</v>
      </c>
      <c r="B59" s="152" t="s">
        <v>481</v>
      </c>
      <c r="C59" s="186">
        <f>(150+50+50+50+50)*1*1.2</f>
        <v>420</v>
      </c>
      <c r="D59" s="289" t="s">
        <v>24</v>
      </c>
      <c r="E59" s="139"/>
      <c r="F59" s="140">
        <f>C59*E59</f>
        <v>0</v>
      </c>
      <c r="G59" s="139">
        <v>121</v>
      </c>
      <c r="H59" s="140">
        <f>C59*G59</f>
        <v>50820</v>
      </c>
      <c r="I59" s="140">
        <f>SUM(F59,H59)</f>
        <v>50820</v>
      </c>
      <c r="J59" s="535"/>
      <c r="K59" s="592" t="s">
        <v>482</v>
      </c>
      <c r="L59" s="592"/>
      <c r="M59" s="638"/>
      <c r="N59" s="592"/>
      <c r="O59" s="470"/>
      <c r="P59" s="470"/>
      <c r="Q59" s="470"/>
      <c r="R59" s="470"/>
      <c r="S59" s="470"/>
      <c r="T59" s="470"/>
    </row>
    <row r="60" spans="1:20" s="191" customFormat="1" x14ac:dyDescent="0.7">
      <c r="A60" s="264">
        <v>7.2</v>
      </c>
      <c r="B60" s="152" t="s">
        <v>474</v>
      </c>
      <c r="C60" s="186">
        <v>4</v>
      </c>
      <c r="D60" s="138" t="s">
        <v>23</v>
      </c>
      <c r="E60" s="139">
        <v>1136.3599999999999</v>
      </c>
      <c r="F60" s="140">
        <f t="shared" ref="F60:F62" si="25">C60*E60</f>
        <v>4545.4399999999996</v>
      </c>
      <c r="G60" s="188">
        <v>500</v>
      </c>
      <c r="H60" s="140">
        <f t="shared" ref="H60:H62" si="26">C60*G60</f>
        <v>2000</v>
      </c>
      <c r="I60" s="140">
        <f t="shared" ref="I60:I62" si="27">SUM(F60,H60)</f>
        <v>6545.44</v>
      </c>
      <c r="J60" s="535"/>
      <c r="K60" s="592" t="s">
        <v>483</v>
      </c>
      <c r="L60" s="592"/>
      <c r="M60" s="638"/>
      <c r="N60" s="592"/>
      <c r="O60" s="470"/>
      <c r="P60" s="470"/>
      <c r="Q60" s="470"/>
      <c r="R60" s="470"/>
      <c r="S60" s="470"/>
      <c r="T60" s="470"/>
    </row>
    <row r="61" spans="1:20" s="191" customFormat="1" x14ac:dyDescent="0.7">
      <c r="A61" s="264">
        <v>7.3</v>
      </c>
      <c r="B61" s="152" t="s">
        <v>472</v>
      </c>
      <c r="C61" s="186">
        <v>4</v>
      </c>
      <c r="D61" s="138" t="s">
        <v>23</v>
      </c>
      <c r="E61" s="139">
        <v>3500</v>
      </c>
      <c r="F61" s="140">
        <f t="shared" si="25"/>
        <v>14000</v>
      </c>
      <c r="G61" s="188">
        <v>500</v>
      </c>
      <c r="H61" s="140">
        <f t="shared" si="26"/>
        <v>2000</v>
      </c>
      <c r="I61" s="140">
        <f t="shared" si="27"/>
        <v>16000</v>
      </c>
      <c r="J61" s="535"/>
      <c r="K61" s="592"/>
      <c r="L61" s="592"/>
      <c r="M61" s="638"/>
      <c r="N61" s="592"/>
      <c r="O61" s="470"/>
      <c r="P61" s="470"/>
      <c r="Q61" s="470"/>
      <c r="R61" s="470"/>
      <c r="S61" s="470"/>
      <c r="T61" s="470"/>
    </row>
    <row r="62" spans="1:20" s="191" customFormat="1" x14ac:dyDescent="0.7">
      <c r="A62" s="264">
        <v>7.4</v>
      </c>
      <c r="B62" s="152" t="s">
        <v>473</v>
      </c>
      <c r="C62" s="186">
        <v>4</v>
      </c>
      <c r="D62" s="138" t="s">
        <v>23</v>
      </c>
      <c r="E62" s="139">
        <v>3500</v>
      </c>
      <c r="F62" s="140">
        <f t="shared" si="25"/>
        <v>14000</v>
      </c>
      <c r="G62" s="188">
        <v>500</v>
      </c>
      <c r="H62" s="140">
        <f t="shared" si="26"/>
        <v>2000</v>
      </c>
      <c r="I62" s="140">
        <f t="shared" si="27"/>
        <v>16000</v>
      </c>
      <c r="J62" s="540"/>
      <c r="K62" s="592"/>
      <c r="L62" s="592"/>
      <c r="M62" s="638"/>
      <c r="N62" s="592"/>
      <c r="O62" s="470"/>
      <c r="P62" s="470"/>
      <c r="Q62" s="470"/>
      <c r="R62" s="470"/>
      <c r="S62" s="470"/>
      <c r="T62" s="470"/>
    </row>
    <row r="63" spans="1:20" s="191" customFormat="1" x14ac:dyDescent="0.7">
      <c r="A63" s="264">
        <v>7.5</v>
      </c>
      <c r="B63" s="152" t="s">
        <v>368</v>
      </c>
      <c r="C63" s="186">
        <v>350</v>
      </c>
      <c r="D63" s="138" t="s">
        <v>41</v>
      </c>
      <c r="E63" s="139">
        <v>700</v>
      </c>
      <c r="F63" s="140">
        <f t="shared" ref="F63:F65" si="28">C63*E63</f>
        <v>245000</v>
      </c>
      <c r="G63" s="188">
        <v>345</v>
      </c>
      <c r="H63" s="140">
        <f t="shared" ref="H63:H65" si="29">C63*G63</f>
        <v>120750</v>
      </c>
      <c r="I63" s="140">
        <f t="shared" ref="I63:I65" si="30">SUM(F63,H63)</f>
        <v>365750</v>
      </c>
      <c r="J63" s="537"/>
      <c r="K63" s="592"/>
      <c r="L63" s="592"/>
      <c r="M63" s="638"/>
      <c r="N63" s="592"/>
      <c r="O63" s="470"/>
      <c r="P63" s="470"/>
      <c r="Q63" s="470"/>
      <c r="R63" s="470"/>
      <c r="S63" s="470"/>
      <c r="T63" s="470"/>
    </row>
    <row r="64" spans="1:20" s="191" customFormat="1" x14ac:dyDescent="0.7">
      <c r="A64" s="264">
        <v>7.6</v>
      </c>
      <c r="B64" s="152" t="s">
        <v>369</v>
      </c>
      <c r="C64" s="186">
        <v>60</v>
      </c>
      <c r="D64" s="138" t="s">
        <v>41</v>
      </c>
      <c r="E64" s="139">
        <v>380</v>
      </c>
      <c r="F64" s="140">
        <f t="shared" si="28"/>
        <v>22800</v>
      </c>
      <c r="G64" s="139">
        <v>140</v>
      </c>
      <c r="H64" s="140">
        <f t="shared" si="29"/>
        <v>8400</v>
      </c>
      <c r="I64" s="140">
        <f t="shared" si="30"/>
        <v>31200</v>
      </c>
      <c r="J64" s="537"/>
      <c r="K64" s="592"/>
      <c r="L64" s="592"/>
      <c r="M64" s="638"/>
      <c r="N64" s="592"/>
      <c r="O64" s="470"/>
      <c r="P64" s="470"/>
      <c r="Q64" s="470"/>
      <c r="R64" s="470"/>
      <c r="S64" s="470"/>
      <c r="T64" s="470"/>
    </row>
    <row r="65" spans="1:20" s="191" customFormat="1" x14ac:dyDescent="0.7">
      <c r="A65" s="253">
        <v>7.7</v>
      </c>
      <c r="B65" s="182" t="s">
        <v>360</v>
      </c>
      <c r="C65" s="225">
        <f>350*0.4*0.05</f>
        <v>7</v>
      </c>
      <c r="D65" s="289" t="s">
        <v>24</v>
      </c>
      <c r="E65" s="345">
        <v>2121.5</v>
      </c>
      <c r="F65" s="225">
        <f t="shared" si="28"/>
        <v>14850.5</v>
      </c>
      <c r="G65" s="345">
        <v>329</v>
      </c>
      <c r="H65" s="225">
        <f t="shared" si="29"/>
        <v>2303</v>
      </c>
      <c r="I65" s="204">
        <f t="shared" si="30"/>
        <v>17153.5</v>
      </c>
      <c r="J65" s="540"/>
      <c r="K65" s="592"/>
      <c r="L65" s="592"/>
      <c r="M65" s="638"/>
      <c r="N65" s="592"/>
      <c r="O65" s="470"/>
      <c r="P65" s="470"/>
      <c r="Q65" s="470"/>
      <c r="R65" s="470"/>
      <c r="S65" s="470"/>
      <c r="T65" s="470"/>
    </row>
    <row r="66" spans="1:20" s="191" customFormat="1" ht="25.15" customHeight="1" x14ac:dyDescent="0.7">
      <c r="A66" s="264">
        <v>7.8</v>
      </c>
      <c r="B66" s="152" t="s">
        <v>83</v>
      </c>
      <c r="C66" s="186">
        <v>3</v>
      </c>
      <c r="D66" s="138" t="s">
        <v>84</v>
      </c>
      <c r="E66" s="139"/>
      <c r="F66" s="140">
        <f>C66*E66</f>
        <v>0</v>
      </c>
      <c r="G66" s="139">
        <v>3000</v>
      </c>
      <c r="H66" s="140">
        <f>C66*G66</f>
        <v>9000</v>
      </c>
      <c r="I66" s="140">
        <f>SUM(F66,H66)</f>
        <v>9000</v>
      </c>
      <c r="J66" s="577"/>
      <c r="K66" s="592"/>
      <c r="L66" s="592"/>
      <c r="M66" s="638"/>
      <c r="N66" s="592"/>
      <c r="O66" s="470"/>
      <c r="P66" s="470"/>
      <c r="Q66" s="470"/>
      <c r="R66" s="470"/>
      <c r="S66" s="470"/>
      <c r="T66" s="470"/>
    </row>
    <row r="67" spans="1:20" s="191" customFormat="1" x14ac:dyDescent="0.7">
      <c r="A67" s="162"/>
      <c r="B67" s="163" t="s">
        <v>85</v>
      </c>
      <c r="C67" s="356"/>
      <c r="D67" s="164"/>
      <c r="E67" s="165"/>
      <c r="F67" s="166">
        <f>SUM(F59:F66)</f>
        <v>315195.94</v>
      </c>
      <c r="G67" s="165"/>
      <c r="H67" s="166">
        <f>SUM(H59:H66)</f>
        <v>197273</v>
      </c>
      <c r="I67" s="166">
        <f>SUM(I59:I66)</f>
        <v>512468.94</v>
      </c>
      <c r="J67" s="533"/>
      <c r="K67" s="592"/>
      <c r="L67" s="592"/>
      <c r="M67" s="592"/>
      <c r="N67" s="592"/>
      <c r="O67" s="470"/>
      <c r="P67" s="470"/>
      <c r="Q67" s="470"/>
      <c r="R67" s="470"/>
      <c r="S67" s="470"/>
      <c r="T67" s="470"/>
    </row>
    <row r="68" spans="1:20" s="170" customFormat="1" x14ac:dyDescent="0.7">
      <c r="A68" s="192">
        <v>8</v>
      </c>
      <c r="B68" s="291" t="s">
        <v>306</v>
      </c>
      <c r="C68" s="359"/>
      <c r="D68" s="193" t="s">
        <v>26</v>
      </c>
      <c r="E68" s="194"/>
      <c r="F68" s="195"/>
      <c r="G68" s="194"/>
      <c r="H68" s="195"/>
      <c r="I68" s="195"/>
      <c r="J68" s="541"/>
      <c r="K68" s="603"/>
      <c r="L68" s="635"/>
      <c r="M68" s="635"/>
      <c r="N68" s="635"/>
      <c r="O68" s="616"/>
      <c r="P68" s="616"/>
      <c r="Q68" s="616"/>
      <c r="R68" s="616"/>
      <c r="S68" s="616"/>
      <c r="T68" s="616"/>
    </row>
    <row r="69" spans="1:20" s="181" customFormat="1" x14ac:dyDescent="0.7">
      <c r="A69" s="201">
        <v>8.1</v>
      </c>
      <c r="B69" s="244" t="s">
        <v>374</v>
      </c>
      <c r="C69" s="360"/>
      <c r="D69" s="241"/>
      <c r="E69" s="286"/>
      <c r="F69" s="287"/>
      <c r="G69" s="286"/>
      <c r="H69" s="243"/>
      <c r="I69" s="243"/>
      <c r="J69" s="542"/>
      <c r="K69" s="592"/>
      <c r="L69" s="633"/>
      <c r="M69" s="633"/>
      <c r="N69" s="633"/>
      <c r="O69" s="634"/>
      <c r="P69" s="634"/>
      <c r="Q69" s="634"/>
      <c r="R69" s="634"/>
      <c r="S69" s="634"/>
      <c r="T69" s="634"/>
    </row>
    <row r="70" spans="1:20" s="181" customFormat="1" x14ac:dyDescent="0.7">
      <c r="A70" s="253" t="s">
        <v>162</v>
      </c>
      <c r="B70" s="283" t="s">
        <v>307</v>
      </c>
      <c r="C70" s="281">
        <v>8</v>
      </c>
      <c r="D70" s="187" t="s">
        <v>23</v>
      </c>
      <c r="E70" s="188">
        <v>1350</v>
      </c>
      <c r="F70" s="204">
        <f t="shared" ref="F70:F81" si="31">C70*E70</f>
        <v>10800</v>
      </c>
      <c r="G70" s="188">
        <v>405</v>
      </c>
      <c r="H70" s="204">
        <f t="shared" ref="H70:H81" si="32">C70*G70</f>
        <v>3240</v>
      </c>
      <c r="I70" s="204">
        <f t="shared" ref="I70:I80" si="33">F70+H70</f>
        <v>14040</v>
      </c>
      <c r="J70" s="543"/>
      <c r="K70" s="592"/>
      <c r="L70" s="633"/>
      <c r="M70" s="633"/>
      <c r="N70" s="633"/>
      <c r="O70" s="634"/>
      <c r="P70" s="634"/>
      <c r="Q70" s="634"/>
      <c r="R70" s="634"/>
      <c r="S70" s="634"/>
      <c r="T70" s="634"/>
    </row>
    <row r="71" spans="1:20" x14ac:dyDescent="0.7">
      <c r="A71" s="253" t="s">
        <v>163</v>
      </c>
      <c r="B71" s="283" t="s">
        <v>164</v>
      </c>
      <c r="C71" s="281">
        <v>2</v>
      </c>
      <c r="D71" s="187" t="s">
        <v>236</v>
      </c>
      <c r="E71" s="188">
        <v>1074</v>
      </c>
      <c r="F71" s="204">
        <f t="shared" si="31"/>
        <v>2148</v>
      </c>
      <c r="G71" s="188">
        <v>660</v>
      </c>
      <c r="H71" s="204">
        <f t="shared" si="32"/>
        <v>1320</v>
      </c>
      <c r="I71" s="204">
        <f t="shared" si="33"/>
        <v>3468</v>
      </c>
      <c r="J71" s="543"/>
      <c r="K71" s="592"/>
      <c r="L71" s="593"/>
      <c r="M71" s="593"/>
      <c r="N71" s="593"/>
    </row>
    <row r="72" spans="1:20" x14ac:dyDescent="0.7">
      <c r="A72" s="253" t="s">
        <v>172</v>
      </c>
      <c r="B72" s="283" t="s">
        <v>165</v>
      </c>
      <c r="C72" s="281">
        <v>8</v>
      </c>
      <c r="D72" s="187" t="s">
        <v>237</v>
      </c>
      <c r="E72" s="188">
        <v>150</v>
      </c>
      <c r="F72" s="204">
        <f t="shared" si="31"/>
        <v>1200</v>
      </c>
      <c r="G72" s="188">
        <v>45</v>
      </c>
      <c r="H72" s="204">
        <f t="shared" si="32"/>
        <v>360</v>
      </c>
      <c r="I72" s="204">
        <f t="shared" si="33"/>
        <v>1560</v>
      </c>
      <c r="J72" s="543"/>
      <c r="K72" s="592"/>
      <c r="L72" s="593"/>
      <c r="M72" s="593"/>
      <c r="N72" s="593"/>
    </row>
    <row r="73" spans="1:20" x14ac:dyDescent="0.7">
      <c r="A73" s="253" t="s">
        <v>173</v>
      </c>
      <c r="B73" s="283" t="s">
        <v>308</v>
      </c>
      <c r="C73" s="281">
        <v>8</v>
      </c>
      <c r="D73" s="187" t="s">
        <v>23</v>
      </c>
      <c r="E73" s="188">
        <v>600</v>
      </c>
      <c r="F73" s="204">
        <f t="shared" si="31"/>
        <v>4800</v>
      </c>
      <c r="G73" s="188">
        <v>180</v>
      </c>
      <c r="H73" s="204">
        <f t="shared" si="32"/>
        <v>1440</v>
      </c>
      <c r="I73" s="204">
        <f t="shared" si="33"/>
        <v>6240</v>
      </c>
      <c r="J73" s="543"/>
      <c r="K73" s="592"/>
      <c r="L73" s="593"/>
      <c r="M73" s="593"/>
      <c r="N73" s="593"/>
    </row>
    <row r="74" spans="1:20" x14ac:dyDescent="0.7">
      <c r="A74" s="253" t="s">
        <v>174</v>
      </c>
      <c r="B74" s="283" t="s">
        <v>167</v>
      </c>
      <c r="C74" s="281">
        <v>8</v>
      </c>
      <c r="D74" s="187" t="s">
        <v>23</v>
      </c>
      <c r="E74" s="188">
        <v>600</v>
      </c>
      <c r="F74" s="204">
        <f t="shared" si="31"/>
        <v>4800</v>
      </c>
      <c r="G74" s="188">
        <v>180</v>
      </c>
      <c r="H74" s="204">
        <f t="shared" si="32"/>
        <v>1440</v>
      </c>
      <c r="I74" s="204">
        <f t="shared" si="33"/>
        <v>6240</v>
      </c>
      <c r="J74" s="543"/>
      <c r="K74" s="592"/>
      <c r="L74" s="593"/>
      <c r="M74" s="593"/>
      <c r="N74" s="593"/>
    </row>
    <row r="75" spans="1:20" x14ac:dyDescent="0.7">
      <c r="A75" s="253" t="s">
        <v>175</v>
      </c>
      <c r="B75" s="283" t="s">
        <v>168</v>
      </c>
      <c r="C75" s="281">
        <v>8</v>
      </c>
      <c r="D75" s="187" t="s">
        <v>237</v>
      </c>
      <c r="E75" s="188">
        <v>800</v>
      </c>
      <c r="F75" s="204">
        <f t="shared" si="31"/>
        <v>6400</v>
      </c>
      <c r="G75" s="188">
        <v>240</v>
      </c>
      <c r="H75" s="204">
        <f t="shared" si="32"/>
        <v>1920</v>
      </c>
      <c r="I75" s="204">
        <f t="shared" si="33"/>
        <v>8320</v>
      </c>
      <c r="J75" s="543"/>
      <c r="K75" s="592"/>
      <c r="L75" s="593"/>
      <c r="M75" s="593"/>
      <c r="N75" s="593"/>
    </row>
    <row r="76" spans="1:20" s="170" customFormat="1" x14ac:dyDescent="0.7">
      <c r="A76" s="253" t="s">
        <v>176</v>
      </c>
      <c r="B76" s="283" t="s">
        <v>169</v>
      </c>
      <c r="C76" s="281">
        <v>8</v>
      </c>
      <c r="D76" s="187" t="s">
        <v>237</v>
      </c>
      <c r="E76" s="188">
        <v>452</v>
      </c>
      <c r="F76" s="204">
        <f t="shared" si="31"/>
        <v>3616</v>
      </c>
      <c r="G76" s="188">
        <v>135</v>
      </c>
      <c r="H76" s="204">
        <f t="shared" si="32"/>
        <v>1080</v>
      </c>
      <c r="I76" s="204">
        <f t="shared" si="33"/>
        <v>4696</v>
      </c>
      <c r="J76" s="543"/>
      <c r="K76" s="603"/>
      <c r="L76" s="635"/>
      <c r="M76" s="635"/>
      <c r="N76" s="635"/>
      <c r="O76" s="616"/>
      <c r="P76" s="616"/>
      <c r="Q76" s="616"/>
      <c r="R76" s="616"/>
      <c r="S76" s="616"/>
      <c r="T76" s="616"/>
    </row>
    <row r="77" spans="1:20" x14ac:dyDescent="0.7">
      <c r="A77" s="253" t="s">
        <v>177</v>
      </c>
      <c r="B77" s="283" t="s">
        <v>170</v>
      </c>
      <c r="C77" s="281">
        <v>8</v>
      </c>
      <c r="D77" s="187" t="s">
        <v>237</v>
      </c>
      <c r="E77" s="188">
        <v>1500</v>
      </c>
      <c r="F77" s="204">
        <f t="shared" si="31"/>
        <v>12000</v>
      </c>
      <c r="G77" s="188">
        <v>450</v>
      </c>
      <c r="H77" s="204">
        <f t="shared" si="32"/>
        <v>3600</v>
      </c>
      <c r="I77" s="204">
        <f t="shared" si="33"/>
        <v>15600</v>
      </c>
      <c r="J77" s="543"/>
    </row>
    <row r="78" spans="1:20" s="191" customFormat="1" x14ac:dyDescent="0.7">
      <c r="A78" s="253" t="s">
        <v>178</v>
      </c>
      <c r="B78" s="283" t="s">
        <v>309</v>
      </c>
      <c r="C78" s="281">
        <v>444</v>
      </c>
      <c r="D78" s="187" t="s">
        <v>41</v>
      </c>
      <c r="E78" s="188">
        <v>126</v>
      </c>
      <c r="F78" s="290">
        <f t="shared" si="31"/>
        <v>55944</v>
      </c>
      <c r="G78" s="188">
        <v>100</v>
      </c>
      <c r="H78" s="204">
        <f t="shared" si="32"/>
        <v>44400</v>
      </c>
      <c r="I78" s="204">
        <f t="shared" si="33"/>
        <v>100344</v>
      </c>
      <c r="J78" s="543"/>
      <c r="K78" s="470"/>
      <c r="L78" s="470"/>
      <c r="M78" s="470"/>
      <c r="N78" s="470"/>
      <c r="O78" s="470"/>
      <c r="P78" s="470"/>
      <c r="Q78" s="470"/>
      <c r="R78" s="470"/>
      <c r="S78" s="470"/>
      <c r="T78" s="470"/>
    </row>
    <row r="79" spans="1:20" s="526" customFormat="1" x14ac:dyDescent="0.7">
      <c r="A79" s="253" t="s">
        <v>179</v>
      </c>
      <c r="B79" s="283" t="s">
        <v>166</v>
      </c>
      <c r="C79" s="361">
        <f>444*0.3*0.2</f>
        <v>26.64</v>
      </c>
      <c r="D79" s="289" t="s">
        <v>24</v>
      </c>
      <c r="E79" s="188"/>
      <c r="F79" s="243">
        <f t="shared" si="31"/>
        <v>0</v>
      </c>
      <c r="G79" s="188">
        <v>153</v>
      </c>
      <c r="H79" s="292">
        <f t="shared" si="32"/>
        <v>4075.92</v>
      </c>
      <c r="I79" s="292">
        <f t="shared" si="33"/>
        <v>4075.92</v>
      </c>
      <c r="J79" s="542"/>
      <c r="K79" s="470"/>
      <c r="L79" s="639"/>
      <c r="M79" s="639"/>
      <c r="N79" s="639"/>
      <c r="O79" s="639"/>
      <c r="P79" s="639"/>
      <c r="Q79" s="639"/>
      <c r="R79" s="639"/>
      <c r="S79" s="639"/>
      <c r="T79" s="639"/>
    </row>
    <row r="80" spans="1:20" s="526" customFormat="1" x14ac:dyDescent="0.7">
      <c r="A80" s="253" t="s">
        <v>180</v>
      </c>
      <c r="B80" s="283" t="s">
        <v>171</v>
      </c>
      <c r="C80" s="361">
        <v>1</v>
      </c>
      <c r="D80" s="289" t="s">
        <v>24</v>
      </c>
      <c r="E80" s="288">
        <v>2216.62</v>
      </c>
      <c r="F80" s="149">
        <f t="shared" si="31"/>
        <v>2216.62</v>
      </c>
      <c r="G80" s="139">
        <v>329</v>
      </c>
      <c r="H80" s="149">
        <f t="shared" si="32"/>
        <v>329</v>
      </c>
      <c r="I80" s="293">
        <f t="shared" si="33"/>
        <v>2545.62</v>
      </c>
      <c r="J80" s="537"/>
      <c r="K80" s="470"/>
      <c r="L80" s="639"/>
      <c r="M80" s="639"/>
      <c r="N80" s="639"/>
      <c r="O80" s="639"/>
      <c r="P80" s="639"/>
      <c r="Q80" s="639"/>
      <c r="R80" s="639"/>
      <c r="S80" s="639"/>
      <c r="T80" s="639"/>
    </row>
    <row r="81" spans="1:20" s="526" customFormat="1" x14ac:dyDescent="0.7">
      <c r="A81" s="253" t="s">
        <v>181</v>
      </c>
      <c r="B81" s="277" t="s">
        <v>296</v>
      </c>
      <c r="C81" s="361">
        <v>30</v>
      </c>
      <c r="D81" s="138" t="s">
        <v>35</v>
      </c>
      <c r="E81" s="139">
        <v>20.6</v>
      </c>
      <c r="F81" s="149">
        <f t="shared" si="31"/>
        <v>618</v>
      </c>
      <c r="G81" s="139">
        <v>4.4000000000000004</v>
      </c>
      <c r="H81" s="149">
        <f t="shared" si="32"/>
        <v>132</v>
      </c>
      <c r="I81" s="149">
        <f t="shared" ref="I81" si="34">SUM(F81,H81)</f>
        <v>750</v>
      </c>
      <c r="J81" s="542"/>
      <c r="K81" s="470"/>
      <c r="L81" s="639"/>
      <c r="M81" s="639"/>
      <c r="N81" s="639"/>
      <c r="O81" s="639"/>
      <c r="P81" s="639"/>
      <c r="Q81" s="639"/>
      <c r="R81" s="639"/>
      <c r="S81" s="639"/>
      <c r="T81" s="639"/>
    </row>
    <row r="82" spans="1:20" s="191" customFormat="1" x14ac:dyDescent="0.7">
      <c r="A82" s="247"/>
      <c r="B82" s="252" t="s">
        <v>232</v>
      </c>
      <c r="C82" s="362"/>
      <c r="D82" s="248"/>
      <c r="E82" s="249"/>
      <c r="F82" s="250">
        <f>SUM(F70:F81)</f>
        <v>104542.62</v>
      </c>
      <c r="G82" s="249"/>
      <c r="H82" s="250">
        <f>SUM(H70:H81)</f>
        <v>63336.92</v>
      </c>
      <c r="I82" s="250">
        <f>SUM(I70:I81)</f>
        <v>167879.54</v>
      </c>
      <c r="J82" s="544"/>
      <c r="K82" s="470"/>
      <c r="L82" s="470"/>
      <c r="M82" s="470"/>
      <c r="N82" s="470"/>
      <c r="O82" s="470"/>
      <c r="P82" s="470"/>
      <c r="Q82" s="470"/>
      <c r="R82" s="470"/>
      <c r="S82" s="470"/>
      <c r="T82" s="470"/>
    </row>
    <row r="83" spans="1:20" s="191" customFormat="1" x14ac:dyDescent="0.7">
      <c r="A83" s="246">
        <v>8.1999999999999993</v>
      </c>
      <c r="B83" s="245" t="s">
        <v>344</v>
      </c>
      <c r="C83" s="360"/>
      <c r="D83" s="241"/>
      <c r="E83" s="242"/>
      <c r="F83" s="243"/>
      <c r="G83" s="242"/>
      <c r="H83" s="243"/>
      <c r="I83" s="243"/>
      <c r="J83" s="545"/>
      <c r="K83" s="470"/>
      <c r="L83" s="470"/>
      <c r="M83" s="470"/>
      <c r="N83" s="470"/>
      <c r="O83" s="470"/>
      <c r="P83" s="470"/>
      <c r="Q83" s="470"/>
      <c r="R83" s="470"/>
      <c r="S83" s="470"/>
      <c r="T83" s="470"/>
    </row>
    <row r="84" spans="1:20" s="191" customFormat="1" x14ac:dyDescent="0.7">
      <c r="A84" s="253" t="s">
        <v>182</v>
      </c>
      <c r="B84" s="182" t="s">
        <v>310</v>
      </c>
      <c r="C84" s="363">
        <v>1</v>
      </c>
      <c r="D84" s="187" t="s">
        <v>23</v>
      </c>
      <c r="E84" s="288">
        <v>28050</v>
      </c>
      <c r="F84" s="290">
        <f>C84*E84</f>
        <v>28050</v>
      </c>
      <c r="G84" s="288"/>
      <c r="H84" s="290">
        <f>C84*G84</f>
        <v>0</v>
      </c>
      <c r="I84" s="290">
        <f>F84+H84</f>
        <v>28050</v>
      </c>
      <c r="J84" s="542"/>
      <c r="K84" s="470"/>
      <c r="L84" s="470"/>
      <c r="M84" s="470"/>
      <c r="N84" s="470"/>
      <c r="O84" s="470"/>
      <c r="P84" s="470"/>
      <c r="Q84" s="470"/>
      <c r="R84" s="470"/>
      <c r="S84" s="470"/>
      <c r="T84" s="470"/>
    </row>
    <row r="85" spans="1:20" s="191" customFormat="1" x14ac:dyDescent="0.7">
      <c r="A85" s="253" t="s">
        <v>186</v>
      </c>
      <c r="B85" s="182" t="s">
        <v>183</v>
      </c>
      <c r="C85" s="363">
        <v>1</v>
      </c>
      <c r="D85" s="187" t="s">
        <v>23</v>
      </c>
      <c r="E85" s="288">
        <v>450</v>
      </c>
      <c r="F85" s="290">
        <f t="shared" ref="F85:F90" si="35">C85*E85</f>
        <v>450</v>
      </c>
      <c r="G85" s="288"/>
      <c r="H85" s="290">
        <f t="shared" ref="H85:H90" si="36">C85*G85</f>
        <v>0</v>
      </c>
      <c r="I85" s="290">
        <f t="shared" ref="I85:I88" si="37">F85+H85</f>
        <v>450</v>
      </c>
      <c r="J85" s="542"/>
      <c r="K85" s="470"/>
      <c r="L85" s="470"/>
      <c r="M85" s="470"/>
      <c r="N85" s="470"/>
      <c r="O85" s="470"/>
      <c r="P85" s="470"/>
      <c r="Q85" s="470"/>
      <c r="R85" s="470"/>
      <c r="S85" s="470"/>
      <c r="T85" s="470"/>
    </row>
    <row r="86" spans="1:20" s="191" customFormat="1" x14ac:dyDescent="0.7">
      <c r="A86" s="253" t="s">
        <v>187</v>
      </c>
      <c r="B86" s="182" t="s">
        <v>184</v>
      </c>
      <c r="C86" s="363">
        <v>1</v>
      </c>
      <c r="D86" s="187" t="s">
        <v>23</v>
      </c>
      <c r="E86" s="288">
        <v>2400</v>
      </c>
      <c r="F86" s="290">
        <f t="shared" si="35"/>
        <v>2400</v>
      </c>
      <c r="G86" s="288"/>
      <c r="H86" s="290">
        <f t="shared" si="36"/>
        <v>0</v>
      </c>
      <c r="I86" s="290">
        <f t="shared" si="37"/>
        <v>2400</v>
      </c>
      <c r="J86" s="542"/>
      <c r="K86" s="470"/>
      <c r="L86" s="470"/>
      <c r="M86" s="470"/>
      <c r="N86" s="470"/>
      <c r="O86" s="470"/>
      <c r="P86" s="470"/>
      <c r="Q86" s="470"/>
      <c r="R86" s="470"/>
      <c r="S86" s="470"/>
      <c r="T86" s="470"/>
    </row>
    <row r="87" spans="1:20" s="191" customFormat="1" x14ac:dyDescent="0.7">
      <c r="A87" s="253" t="s">
        <v>188</v>
      </c>
      <c r="B87" s="182" t="s">
        <v>185</v>
      </c>
      <c r="C87" s="363">
        <v>1</v>
      </c>
      <c r="D87" s="187" t="s">
        <v>23</v>
      </c>
      <c r="E87" s="288">
        <v>22000</v>
      </c>
      <c r="F87" s="290">
        <f t="shared" si="35"/>
        <v>22000</v>
      </c>
      <c r="G87" s="288"/>
      <c r="H87" s="290">
        <f t="shared" si="36"/>
        <v>0</v>
      </c>
      <c r="I87" s="290">
        <f t="shared" si="37"/>
        <v>22000</v>
      </c>
      <c r="J87" s="542"/>
      <c r="K87" s="470"/>
      <c r="L87" s="470"/>
      <c r="M87" s="470"/>
      <c r="N87" s="470"/>
      <c r="O87" s="470"/>
      <c r="P87" s="470"/>
      <c r="Q87" s="470"/>
      <c r="R87" s="470"/>
      <c r="S87" s="470"/>
      <c r="T87" s="470"/>
    </row>
    <row r="88" spans="1:20" s="191" customFormat="1" x14ac:dyDescent="0.7">
      <c r="A88" s="253" t="s">
        <v>189</v>
      </c>
      <c r="B88" s="182" t="s">
        <v>357</v>
      </c>
      <c r="C88" s="363">
        <v>1</v>
      </c>
      <c r="D88" s="187" t="s">
        <v>23</v>
      </c>
      <c r="E88" s="288"/>
      <c r="F88" s="290">
        <f t="shared" si="35"/>
        <v>0</v>
      </c>
      <c r="G88" s="288">
        <v>36945</v>
      </c>
      <c r="H88" s="290">
        <f t="shared" si="36"/>
        <v>36945</v>
      </c>
      <c r="I88" s="290">
        <f t="shared" si="37"/>
        <v>36945</v>
      </c>
      <c r="J88" s="542"/>
      <c r="K88" s="470"/>
      <c r="L88" s="470"/>
      <c r="M88" s="470"/>
      <c r="N88" s="470"/>
      <c r="O88" s="470"/>
      <c r="P88" s="470"/>
      <c r="Q88" s="470"/>
      <c r="R88" s="470"/>
      <c r="S88" s="470"/>
      <c r="T88" s="470"/>
    </row>
    <row r="89" spans="1:20" s="191" customFormat="1" x14ac:dyDescent="0.7">
      <c r="A89" s="253" t="s">
        <v>341</v>
      </c>
      <c r="B89" s="182" t="s">
        <v>356</v>
      </c>
      <c r="C89" s="186">
        <v>1</v>
      </c>
      <c r="D89" s="187" t="s">
        <v>23</v>
      </c>
      <c r="E89" s="203">
        <v>125000</v>
      </c>
      <c r="F89" s="204">
        <f t="shared" si="35"/>
        <v>125000</v>
      </c>
      <c r="G89" s="203">
        <v>20000</v>
      </c>
      <c r="H89" s="204">
        <f t="shared" si="36"/>
        <v>20000</v>
      </c>
      <c r="I89" s="204">
        <f t="shared" ref="I89:I90" si="38">SUM(F89,H89)</f>
        <v>145000</v>
      </c>
      <c r="J89" s="542"/>
      <c r="K89" s="470"/>
      <c r="L89" s="470"/>
      <c r="M89" s="470"/>
      <c r="N89" s="470"/>
      <c r="O89" s="470"/>
      <c r="P89" s="470"/>
      <c r="Q89" s="470"/>
      <c r="R89" s="470"/>
      <c r="S89" s="470"/>
      <c r="T89" s="470"/>
    </row>
    <row r="90" spans="1:20" s="191" customFormat="1" x14ac:dyDescent="0.7">
      <c r="A90" s="253" t="s">
        <v>342</v>
      </c>
      <c r="B90" s="182" t="s">
        <v>343</v>
      </c>
      <c r="C90" s="140">
        <v>1</v>
      </c>
      <c r="D90" s="138" t="s">
        <v>23</v>
      </c>
      <c r="E90" s="203">
        <v>8500</v>
      </c>
      <c r="F90" s="204">
        <f t="shared" si="35"/>
        <v>8500</v>
      </c>
      <c r="G90" s="203">
        <v>1500</v>
      </c>
      <c r="H90" s="204">
        <f t="shared" si="36"/>
        <v>1500</v>
      </c>
      <c r="I90" s="204">
        <f t="shared" si="38"/>
        <v>10000</v>
      </c>
      <c r="J90" s="542"/>
      <c r="K90" s="470"/>
      <c r="L90" s="470"/>
      <c r="M90" s="470"/>
      <c r="N90" s="470"/>
      <c r="O90" s="470"/>
      <c r="P90" s="470"/>
      <c r="Q90" s="470"/>
      <c r="R90" s="470"/>
      <c r="S90" s="470"/>
      <c r="T90" s="470"/>
    </row>
    <row r="91" spans="1:20" s="191" customFormat="1" x14ac:dyDescent="0.7">
      <c r="A91" s="247"/>
      <c r="B91" s="252" t="s">
        <v>233</v>
      </c>
      <c r="C91" s="362"/>
      <c r="D91" s="248"/>
      <c r="E91" s="249"/>
      <c r="F91" s="250">
        <f>SUM(F84:F90)</f>
        <v>186400</v>
      </c>
      <c r="G91" s="249"/>
      <c r="H91" s="250">
        <f>SUM(H84:H90)</f>
        <v>58445</v>
      </c>
      <c r="I91" s="250">
        <f>SUM(I84:I90)</f>
        <v>244845</v>
      </c>
      <c r="J91" s="546"/>
      <c r="K91" s="470"/>
      <c r="L91" s="470"/>
      <c r="M91" s="470"/>
      <c r="N91" s="470"/>
      <c r="O91" s="470"/>
      <c r="P91" s="470"/>
      <c r="Q91" s="470"/>
      <c r="R91" s="470"/>
      <c r="S91" s="470"/>
      <c r="T91" s="470"/>
    </row>
    <row r="92" spans="1:20" s="191" customFormat="1" x14ac:dyDescent="0.7">
      <c r="A92" s="246">
        <v>8.3000000000000007</v>
      </c>
      <c r="B92" s="245" t="s">
        <v>191</v>
      </c>
      <c r="C92" s="360"/>
      <c r="D92" s="241"/>
      <c r="E92" s="242"/>
      <c r="F92" s="243"/>
      <c r="G92" s="203"/>
      <c r="H92" s="243"/>
      <c r="I92" s="243"/>
      <c r="J92" s="542"/>
      <c r="K92" s="470"/>
      <c r="L92" s="470"/>
      <c r="M92" s="470"/>
      <c r="N92" s="470"/>
      <c r="O92" s="470"/>
      <c r="P92" s="470"/>
      <c r="Q92" s="470"/>
      <c r="R92" s="470"/>
      <c r="S92" s="470"/>
      <c r="T92" s="470"/>
    </row>
    <row r="93" spans="1:20" s="191" customFormat="1" x14ac:dyDescent="0.7">
      <c r="A93" s="253" t="s">
        <v>190</v>
      </c>
      <c r="B93" s="182" t="s">
        <v>192</v>
      </c>
      <c r="C93" s="364">
        <v>3</v>
      </c>
      <c r="D93" s="187" t="s">
        <v>236</v>
      </c>
      <c r="E93" s="288">
        <v>2509.8000000000002</v>
      </c>
      <c r="F93" s="204">
        <f t="shared" ref="F93:F103" si="39">C93*E93</f>
        <v>7529.4000000000005</v>
      </c>
      <c r="G93" s="188">
        <v>1500</v>
      </c>
      <c r="H93" s="204">
        <f t="shared" ref="H93:H103" si="40">C93*G93</f>
        <v>4500</v>
      </c>
      <c r="I93" s="204">
        <f t="shared" ref="I93:I103" si="41">F93+H93</f>
        <v>12029.400000000001</v>
      </c>
      <c r="J93" s="542"/>
      <c r="K93" s="470"/>
      <c r="L93" s="470"/>
      <c r="M93" s="470"/>
      <c r="N93" s="470"/>
      <c r="O93" s="470"/>
      <c r="P93" s="470"/>
      <c r="Q93" s="470"/>
      <c r="R93" s="470"/>
      <c r="S93" s="470"/>
      <c r="T93" s="470"/>
    </row>
    <row r="94" spans="1:20" s="191" customFormat="1" x14ac:dyDescent="0.7">
      <c r="A94" s="253" t="s">
        <v>203</v>
      </c>
      <c r="B94" s="182" t="s">
        <v>193</v>
      </c>
      <c r="C94" s="364">
        <v>1</v>
      </c>
      <c r="D94" s="187" t="s">
        <v>23</v>
      </c>
      <c r="E94" s="288">
        <v>5300</v>
      </c>
      <c r="F94" s="204">
        <f t="shared" si="39"/>
        <v>5300</v>
      </c>
      <c r="G94" s="188">
        <v>800</v>
      </c>
      <c r="H94" s="204">
        <f t="shared" si="40"/>
        <v>800</v>
      </c>
      <c r="I94" s="204">
        <f t="shared" si="41"/>
        <v>6100</v>
      </c>
      <c r="J94" s="542"/>
      <c r="K94" s="470"/>
      <c r="L94" s="470"/>
      <c r="M94" s="470"/>
      <c r="N94" s="470"/>
      <c r="O94" s="470"/>
      <c r="P94" s="470"/>
      <c r="Q94" s="470"/>
      <c r="R94" s="470"/>
      <c r="S94" s="470"/>
      <c r="T94" s="470"/>
    </row>
    <row r="95" spans="1:20" s="191" customFormat="1" x14ac:dyDescent="0.7">
      <c r="A95" s="253" t="s">
        <v>204</v>
      </c>
      <c r="B95" s="182" t="s">
        <v>194</v>
      </c>
      <c r="C95" s="364">
        <v>1</v>
      </c>
      <c r="D95" s="187" t="s">
        <v>237</v>
      </c>
      <c r="E95" s="288">
        <v>190</v>
      </c>
      <c r="F95" s="204">
        <f t="shared" si="39"/>
        <v>190</v>
      </c>
      <c r="G95" s="188">
        <v>57</v>
      </c>
      <c r="H95" s="204">
        <f t="shared" si="40"/>
        <v>57</v>
      </c>
      <c r="I95" s="204">
        <f t="shared" si="41"/>
        <v>247</v>
      </c>
      <c r="J95" s="542"/>
      <c r="K95" s="471" t="s">
        <v>361</v>
      </c>
      <c r="L95" s="470"/>
      <c r="M95" s="470"/>
      <c r="N95" s="470"/>
      <c r="O95" s="470"/>
      <c r="P95" s="470"/>
      <c r="Q95" s="470"/>
      <c r="R95" s="470"/>
      <c r="S95" s="470"/>
      <c r="T95" s="470"/>
    </row>
    <row r="96" spans="1:20" s="191" customFormat="1" x14ac:dyDescent="0.7">
      <c r="A96" s="253" t="s">
        <v>205</v>
      </c>
      <c r="B96" s="182" t="s">
        <v>195</v>
      </c>
      <c r="C96" s="364">
        <v>4</v>
      </c>
      <c r="D96" s="187" t="s">
        <v>237</v>
      </c>
      <c r="E96" s="288">
        <v>800</v>
      </c>
      <c r="F96" s="204">
        <f t="shared" si="39"/>
        <v>3200</v>
      </c>
      <c r="G96" s="188">
        <v>240</v>
      </c>
      <c r="H96" s="204">
        <f t="shared" si="40"/>
        <v>960</v>
      </c>
      <c r="I96" s="204">
        <f t="shared" si="41"/>
        <v>4160</v>
      </c>
      <c r="J96" s="542"/>
      <c r="K96" s="472" t="e">
        <f>J83-#REF!</f>
        <v>#REF!</v>
      </c>
      <c r="L96" s="470"/>
      <c r="M96" s="470"/>
      <c r="N96" s="470"/>
      <c r="O96" s="470"/>
      <c r="P96" s="470"/>
      <c r="Q96" s="470"/>
      <c r="R96" s="470"/>
      <c r="S96" s="470"/>
      <c r="T96" s="470"/>
    </row>
    <row r="97" spans="1:20" s="191" customFormat="1" x14ac:dyDescent="0.7">
      <c r="A97" s="253" t="s">
        <v>206</v>
      </c>
      <c r="B97" s="182" t="s">
        <v>196</v>
      </c>
      <c r="C97" s="364">
        <v>1</v>
      </c>
      <c r="D97" s="187" t="s">
        <v>237</v>
      </c>
      <c r="E97" s="288">
        <v>700</v>
      </c>
      <c r="F97" s="204">
        <f t="shared" si="39"/>
        <v>700</v>
      </c>
      <c r="G97" s="188">
        <v>210</v>
      </c>
      <c r="H97" s="204">
        <f t="shared" si="40"/>
        <v>210</v>
      </c>
      <c r="I97" s="204">
        <f t="shared" si="41"/>
        <v>910</v>
      </c>
      <c r="J97" s="542"/>
      <c r="K97" s="470"/>
      <c r="L97" s="470"/>
      <c r="M97" s="470"/>
      <c r="N97" s="470"/>
      <c r="O97" s="470"/>
      <c r="P97" s="470"/>
      <c r="Q97" s="470"/>
      <c r="R97" s="470"/>
      <c r="S97" s="470"/>
      <c r="T97" s="470"/>
    </row>
    <row r="98" spans="1:20" s="191" customFormat="1" x14ac:dyDescent="0.7">
      <c r="A98" s="253" t="s">
        <v>207</v>
      </c>
      <c r="B98" s="182" t="s">
        <v>197</v>
      </c>
      <c r="C98" s="364">
        <v>1</v>
      </c>
      <c r="D98" s="187" t="s">
        <v>237</v>
      </c>
      <c r="E98" s="288">
        <v>4000</v>
      </c>
      <c r="F98" s="204">
        <f t="shared" si="39"/>
        <v>4000</v>
      </c>
      <c r="G98" s="188">
        <v>800</v>
      </c>
      <c r="H98" s="204">
        <f t="shared" si="40"/>
        <v>800</v>
      </c>
      <c r="I98" s="204">
        <f t="shared" si="41"/>
        <v>4800</v>
      </c>
      <c r="J98" s="542"/>
      <c r="K98" s="470"/>
      <c r="L98" s="470"/>
      <c r="M98" s="470"/>
      <c r="N98" s="470"/>
      <c r="O98" s="470"/>
      <c r="P98" s="470"/>
      <c r="Q98" s="470"/>
      <c r="R98" s="470"/>
      <c r="S98" s="470"/>
      <c r="T98" s="470"/>
    </row>
    <row r="99" spans="1:20" s="191" customFormat="1" x14ac:dyDescent="0.7">
      <c r="A99" s="253" t="s">
        <v>208</v>
      </c>
      <c r="B99" s="182" t="s">
        <v>198</v>
      </c>
      <c r="C99" s="364">
        <v>1</v>
      </c>
      <c r="D99" s="187" t="s">
        <v>237</v>
      </c>
      <c r="E99" s="288">
        <v>200</v>
      </c>
      <c r="F99" s="204">
        <f t="shared" si="39"/>
        <v>200</v>
      </c>
      <c r="G99" s="188">
        <v>60</v>
      </c>
      <c r="H99" s="204">
        <f t="shared" si="40"/>
        <v>60</v>
      </c>
      <c r="I99" s="204">
        <f t="shared" si="41"/>
        <v>260</v>
      </c>
      <c r="J99" s="542"/>
      <c r="K99" s="470"/>
      <c r="L99" s="470"/>
      <c r="M99" s="470"/>
      <c r="N99" s="470"/>
      <c r="O99" s="470"/>
      <c r="P99" s="470"/>
      <c r="Q99" s="470"/>
      <c r="R99" s="470"/>
      <c r="S99" s="470"/>
      <c r="T99" s="470"/>
    </row>
    <row r="100" spans="1:20" s="191" customFormat="1" x14ac:dyDescent="0.7">
      <c r="A100" s="253" t="s">
        <v>209</v>
      </c>
      <c r="B100" s="182" t="s">
        <v>199</v>
      </c>
      <c r="C100" s="364">
        <v>3</v>
      </c>
      <c r="D100" s="187" t="s">
        <v>23</v>
      </c>
      <c r="E100" s="288">
        <v>1000</v>
      </c>
      <c r="F100" s="204">
        <f t="shared" si="39"/>
        <v>3000</v>
      </c>
      <c r="G100" s="188">
        <v>300</v>
      </c>
      <c r="H100" s="204">
        <f t="shared" si="40"/>
        <v>900</v>
      </c>
      <c r="I100" s="204">
        <f t="shared" si="41"/>
        <v>3900</v>
      </c>
      <c r="J100" s="542"/>
      <c r="K100" s="470"/>
      <c r="L100" s="470"/>
      <c r="M100" s="470"/>
      <c r="N100" s="470"/>
      <c r="O100" s="470"/>
      <c r="P100" s="470"/>
      <c r="Q100" s="470"/>
      <c r="R100" s="470"/>
      <c r="S100" s="470"/>
      <c r="T100" s="470"/>
    </row>
    <row r="101" spans="1:20" s="210" customFormat="1" x14ac:dyDescent="0.7">
      <c r="A101" s="253" t="s">
        <v>210</v>
      </c>
      <c r="B101" s="182" t="s">
        <v>200</v>
      </c>
      <c r="C101" s="364">
        <v>1</v>
      </c>
      <c r="D101" s="187" t="s">
        <v>23</v>
      </c>
      <c r="E101" s="288">
        <v>3000</v>
      </c>
      <c r="F101" s="204">
        <f t="shared" si="39"/>
        <v>3000</v>
      </c>
      <c r="G101" s="188">
        <v>800</v>
      </c>
      <c r="H101" s="204">
        <f t="shared" si="40"/>
        <v>800</v>
      </c>
      <c r="I101" s="204">
        <f t="shared" si="41"/>
        <v>3800</v>
      </c>
      <c r="J101" s="542"/>
      <c r="K101" s="470"/>
      <c r="L101" s="470"/>
      <c r="M101" s="470"/>
      <c r="N101" s="470"/>
      <c r="O101" s="470"/>
      <c r="P101" s="470"/>
      <c r="Q101" s="470"/>
      <c r="R101" s="470"/>
      <c r="S101" s="470"/>
      <c r="T101" s="470"/>
    </row>
    <row r="102" spans="1:20" s="210" customFormat="1" x14ac:dyDescent="0.7">
      <c r="A102" s="253" t="s">
        <v>211</v>
      </c>
      <c r="B102" s="182" t="s">
        <v>201</v>
      </c>
      <c r="C102" s="364">
        <v>1</v>
      </c>
      <c r="D102" s="187" t="s">
        <v>23</v>
      </c>
      <c r="E102" s="288">
        <v>1000</v>
      </c>
      <c r="F102" s="204">
        <f t="shared" si="39"/>
        <v>1000</v>
      </c>
      <c r="G102" s="188">
        <v>300</v>
      </c>
      <c r="H102" s="204">
        <f t="shared" si="40"/>
        <v>300</v>
      </c>
      <c r="I102" s="204">
        <f t="shared" si="41"/>
        <v>1300</v>
      </c>
      <c r="J102" s="542"/>
      <c r="K102" s="470"/>
      <c r="L102" s="470"/>
      <c r="M102" s="470"/>
      <c r="N102" s="470"/>
      <c r="O102" s="470"/>
      <c r="P102" s="470"/>
      <c r="Q102" s="470"/>
      <c r="R102" s="470"/>
      <c r="S102" s="470"/>
      <c r="T102" s="470"/>
    </row>
    <row r="103" spans="1:20" s="191" customFormat="1" x14ac:dyDescent="0.7">
      <c r="A103" s="253" t="s">
        <v>212</v>
      </c>
      <c r="B103" s="182" t="s">
        <v>202</v>
      </c>
      <c r="C103" s="364">
        <v>1</v>
      </c>
      <c r="D103" s="187" t="s">
        <v>42</v>
      </c>
      <c r="E103" s="288">
        <v>3120</v>
      </c>
      <c r="F103" s="204">
        <f t="shared" si="39"/>
        <v>3120</v>
      </c>
      <c r="G103" s="188">
        <v>936</v>
      </c>
      <c r="H103" s="204">
        <f t="shared" si="40"/>
        <v>936</v>
      </c>
      <c r="I103" s="204">
        <f t="shared" si="41"/>
        <v>4056</v>
      </c>
      <c r="J103" s="542"/>
      <c r="K103" s="470"/>
      <c r="L103" s="470"/>
      <c r="M103" s="470"/>
      <c r="N103" s="470"/>
      <c r="O103" s="470"/>
      <c r="P103" s="470"/>
      <c r="Q103" s="470"/>
      <c r="R103" s="470"/>
      <c r="S103" s="470"/>
      <c r="T103" s="470"/>
    </row>
    <row r="104" spans="1:20" s="191" customFormat="1" x14ac:dyDescent="0.7">
      <c r="A104" s="247"/>
      <c r="B104" s="252" t="s">
        <v>234</v>
      </c>
      <c r="C104" s="362"/>
      <c r="D104" s="248"/>
      <c r="E104" s="249"/>
      <c r="F104" s="250">
        <f>SUM(F93:F103)</f>
        <v>31239.4</v>
      </c>
      <c r="G104" s="249"/>
      <c r="H104" s="250">
        <f>SUM(H93:H103)</f>
        <v>10323</v>
      </c>
      <c r="I104" s="250">
        <f>SUM(I93:I103)</f>
        <v>41562.400000000001</v>
      </c>
      <c r="J104" s="544"/>
      <c r="K104" s="470"/>
      <c r="L104" s="470"/>
      <c r="M104" s="470"/>
      <c r="N104" s="470"/>
      <c r="O104" s="470"/>
      <c r="P104" s="470"/>
      <c r="Q104" s="470"/>
      <c r="R104" s="470"/>
      <c r="S104" s="470"/>
      <c r="T104" s="470"/>
    </row>
    <row r="105" spans="1:20" s="191" customFormat="1" x14ac:dyDescent="0.7">
      <c r="A105" s="246">
        <v>8.4</v>
      </c>
      <c r="B105" s="245" t="s">
        <v>213</v>
      </c>
      <c r="C105" s="360"/>
      <c r="D105" s="241"/>
      <c r="E105" s="242"/>
      <c r="F105" s="243"/>
      <c r="G105" s="242"/>
      <c r="H105" s="243"/>
      <c r="I105" s="243"/>
      <c r="J105" s="542"/>
      <c r="K105" s="470"/>
      <c r="L105" s="470"/>
      <c r="M105" s="470"/>
      <c r="N105" s="470"/>
      <c r="O105" s="470"/>
      <c r="P105" s="470"/>
      <c r="Q105" s="470"/>
      <c r="R105" s="470"/>
      <c r="S105" s="470"/>
      <c r="T105" s="470"/>
    </row>
    <row r="106" spans="1:20" s="191" customFormat="1" x14ac:dyDescent="0.7">
      <c r="A106" s="253" t="s">
        <v>214</v>
      </c>
      <c r="B106" s="283" t="s">
        <v>215</v>
      </c>
      <c r="C106" s="364">
        <v>1</v>
      </c>
      <c r="D106" s="187" t="s">
        <v>236</v>
      </c>
      <c r="E106" s="288">
        <v>2509.8000000000002</v>
      </c>
      <c r="F106" s="204">
        <f t="shared" ref="F106:F115" si="42">C106*E106</f>
        <v>2509.8000000000002</v>
      </c>
      <c r="G106" s="188">
        <v>1500</v>
      </c>
      <c r="H106" s="204">
        <f t="shared" ref="H106:H115" si="43">C106*G106</f>
        <v>1500</v>
      </c>
      <c r="I106" s="204">
        <f t="shared" ref="I106:I115" si="44">F106+H106</f>
        <v>4009.8</v>
      </c>
      <c r="J106" s="542"/>
      <c r="K106" s="470"/>
      <c r="L106" s="470"/>
      <c r="M106" s="470"/>
      <c r="N106" s="470"/>
      <c r="O106" s="470"/>
      <c r="P106" s="470"/>
      <c r="Q106" s="470"/>
      <c r="R106" s="470"/>
      <c r="S106" s="470"/>
      <c r="T106" s="470"/>
    </row>
    <row r="107" spans="1:20" s="191" customFormat="1" x14ac:dyDescent="0.7">
      <c r="A107" s="253" t="s">
        <v>223</v>
      </c>
      <c r="B107" s="283" t="s">
        <v>216</v>
      </c>
      <c r="C107" s="364">
        <v>1</v>
      </c>
      <c r="D107" s="187" t="s">
        <v>237</v>
      </c>
      <c r="E107" s="288">
        <v>560</v>
      </c>
      <c r="F107" s="204">
        <f t="shared" si="42"/>
        <v>560</v>
      </c>
      <c r="G107" s="188">
        <v>168</v>
      </c>
      <c r="H107" s="204">
        <f t="shared" si="43"/>
        <v>168</v>
      </c>
      <c r="I107" s="204">
        <f t="shared" si="44"/>
        <v>728</v>
      </c>
      <c r="J107" s="542"/>
      <c r="K107" s="470"/>
      <c r="L107" s="470"/>
      <c r="M107" s="470"/>
      <c r="N107" s="470"/>
      <c r="O107" s="470"/>
      <c r="P107" s="470"/>
      <c r="Q107" s="470"/>
      <c r="R107" s="470"/>
      <c r="S107" s="470"/>
      <c r="T107" s="470"/>
    </row>
    <row r="108" spans="1:20" s="191" customFormat="1" x14ac:dyDescent="0.7">
      <c r="A108" s="253" t="s">
        <v>224</v>
      </c>
      <c r="B108" s="283" t="s">
        <v>199</v>
      </c>
      <c r="C108" s="364">
        <v>3</v>
      </c>
      <c r="D108" s="187" t="s">
        <v>23</v>
      </c>
      <c r="E108" s="288">
        <v>1000</v>
      </c>
      <c r="F108" s="204">
        <f t="shared" si="42"/>
        <v>3000</v>
      </c>
      <c r="G108" s="188">
        <v>300</v>
      </c>
      <c r="H108" s="204">
        <f t="shared" si="43"/>
        <v>900</v>
      </c>
      <c r="I108" s="204">
        <f t="shared" si="44"/>
        <v>3900</v>
      </c>
      <c r="J108" s="542"/>
      <c r="K108" s="470"/>
      <c r="L108" s="470"/>
      <c r="M108" s="470"/>
      <c r="N108" s="470"/>
      <c r="O108" s="470"/>
      <c r="P108" s="470"/>
      <c r="Q108" s="470"/>
      <c r="R108" s="470"/>
      <c r="S108" s="470"/>
      <c r="T108" s="470"/>
    </row>
    <row r="109" spans="1:20" s="191" customFormat="1" x14ac:dyDescent="0.7">
      <c r="A109" s="253" t="s">
        <v>225</v>
      </c>
      <c r="B109" s="283" t="s">
        <v>217</v>
      </c>
      <c r="C109" s="364">
        <v>1</v>
      </c>
      <c r="D109" s="187" t="s">
        <v>237</v>
      </c>
      <c r="E109" s="288">
        <v>4000</v>
      </c>
      <c r="F109" s="204">
        <f t="shared" si="42"/>
        <v>4000</v>
      </c>
      <c r="G109" s="188">
        <v>800</v>
      </c>
      <c r="H109" s="204">
        <f t="shared" si="43"/>
        <v>800</v>
      </c>
      <c r="I109" s="204">
        <f t="shared" si="44"/>
        <v>4800</v>
      </c>
      <c r="J109" s="542"/>
      <c r="K109" s="470"/>
      <c r="L109" s="470"/>
      <c r="M109" s="470"/>
      <c r="N109" s="470"/>
      <c r="O109" s="470"/>
      <c r="P109" s="470"/>
      <c r="Q109" s="470"/>
      <c r="R109" s="470"/>
      <c r="S109" s="470"/>
      <c r="T109" s="470"/>
    </row>
    <row r="110" spans="1:20" s="191" customFormat="1" x14ac:dyDescent="0.7">
      <c r="A110" s="253" t="s">
        <v>226</v>
      </c>
      <c r="B110" s="283" t="s">
        <v>218</v>
      </c>
      <c r="C110" s="364">
        <v>1</v>
      </c>
      <c r="D110" s="187" t="s">
        <v>237</v>
      </c>
      <c r="E110" s="288">
        <v>6000</v>
      </c>
      <c r="F110" s="204">
        <f t="shared" si="42"/>
        <v>6000</v>
      </c>
      <c r="G110" s="188">
        <v>800</v>
      </c>
      <c r="H110" s="204">
        <f t="shared" si="43"/>
        <v>800</v>
      </c>
      <c r="I110" s="204">
        <f t="shared" si="44"/>
        <v>6800</v>
      </c>
      <c r="J110" s="542"/>
      <c r="K110" s="470"/>
      <c r="L110" s="470"/>
      <c r="M110" s="470"/>
      <c r="N110" s="470"/>
      <c r="O110" s="470"/>
      <c r="P110" s="470"/>
      <c r="Q110" s="470"/>
      <c r="R110" s="470"/>
      <c r="S110" s="470"/>
      <c r="T110" s="470"/>
    </row>
    <row r="111" spans="1:20" s="191" customFormat="1" x14ac:dyDescent="0.7">
      <c r="A111" s="253" t="s">
        <v>227</v>
      </c>
      <c r="B111" s="283" t="s">
        <v>219</v>
      </c>
      <c r="C111" s="364">
        <v>2</v>
      </c>
      <c r="D111" s="187" t="s">
        <v>237</v>
      </c>
      <c r="E111" s="288">
        <v>600</v>
      </c>
      <c r="F111" s="204">
        <f t="shared" si="42"/>
        <v>1200</v>
      </c>
      <c r="G111" s="188">
        <v>180</v>
      </c>
      <c r="H111" s="204">
        <f t="shared" si="43"/>
        <v>360</v>
      </c>
      <c r="I111" s="204">
        <f t="shared" si="44"/>
        <v>1560</v>
      </c>
      <c r="J111" s="542"/>
      <c r="K111" s="470"/>
      <c r="L111" s="470"/>
      <c r="M111" s="470"/>
      <c r="N111" s="470"/>
      <c r="O111" s="470"/>
      <c r="P111" s="470"/>
      <c r="Q111" s="470"/>
      <c r="R111" s="470"/>
      <c r="S111" s="470"/>
      <c r="T111" s="470"/>
    </row>
    <row r="112" spans="1:20" s="191" customFormat="1" x14ac:dyDescent="0.7">
      <c r="A112" s="253" t="s">
        <v>228</v>
      </c>
      <c r="B112" s="283" t="s">
        <v>220</v>
      </c>
      <c r="C112" s="364">
        <v>1</v>
      </c>
      <c r="D112" s="187" t="s">
        <v>23</v>
      </c>
      <c r="E112" s="288">
        <v>3000</v>
      </c>
      <c r="F112" s="204">
        <f t="shared" si="42"/>
        <v>3000</v>
      </c>
      <c r="G112" s="188">
        <v>800</v>
      </c>
      <c r="H112" s="204">
        <f t="shared" si="43"/>
        <v>800</v>
      </c>
      <c r="I112" s="204">
        <f t="shared" si="44"/>
        <v>3800</v>
      </c>
      <c r="J112" s="542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</row>
    <row r="113" spans="1:20" s="191" customFormat="1" x14ac:dyDescent="0.7">
      <c r="A113" s="253" t="s">
        <v>229</v>
      </c>
      <c r="B113" s="283" t="s">
        <v>221</v>
      </c>
      <c r="C113" s="364">
        <v>1</v>
      </c>
      <c r="D113" s="187" t="s">
        <v>237</v>
      </c>
      <c r="E113" s="288">
        <v>2100</v>
      </c>
      <c r="F113" s="204">
        <f t="shared" si="42"/>
        <v>2100</v>
      </c>
      <c r="G113" s="188">
        <v>800</v>
      </c>
      <c r="H113" s="204">
        <f t="shared" si="43"/>
        <v>800</v>
      </c>
      <c r="I113" s="204">
        <f t="shared" si="44"/>
        <v>2900</v>
      </c>
      <c r="J113" s="542"/>
      <c r="K113" s="470"/>
      <c r="L113" s="470"/>
      <c r="M113" s="470"/>
      <c r="N113" s="470"/>
      <c r="O113" s="470"/>
      <c r="P113" s="470"/>
      <c r="Q113" s="470"/>
      <c r="R113" s="470"/>
      <c r="S113" s="470"/>
      <c r="T113" s="470"/>
    </row>
    <row r="114" spans="1:20" s="191" customFormat="1" x14ac:dyDescent="0.7">
      <c r="A114" s="253" t="s">
        <v>230</v>
      </c>
      <c r="B114" s="283" t="s">
        <v>222</v>
      </c>
      <c r="C114" s="364">
        <v>1</v>
      </c>
      <c r="D114" s="187" t="s">
        <v>23</v>
      </c>
      <c r="E114" s="288">
        <v>1400</v>
      </c>
      <c r="F114" s="204">
        <f t="shared" si="42"/>
        <v>1400</v>
      </c>
      <c r="G114" s="188">
        <v>420</v>
      </c>
      <c r="H114" s="204">
        <f t="shared" si="43"/>
        <v>420</v>
      </c>
      <c r="I114" s="204">
        <f t="shared" si="44"/>
        <v>1820</v>
      </c>
      <c r="J114" s="542"/>
      <c r="K114" s="470"/>
      <c r="L114" s="470"/>
      <c r="M114" s="470"/>
      <c r="N114" s="470"/>
      <c r="O114" s="470"/>
      <c r="P114" s="470"/>
      <c r="Q114" s="470"/>
      <c r="R114" s="470"/>
      <c r="S114" s="470"/>
      <c r="T114" s="470"/>
    </row>
    <row r="115" spans="1:20" s="191" customFormat="1" x14ac:dyDescent="0.7">
      <c r="A115" s="253" t="s">
        <v>231</v>
      </c>
      <c r="B115" s="283" t="s">
        <v>202</v>
      </c>
      <c r="C115" s="364">
        <v>1</v>
      </c>
      <c r="D115" s="187" t="s">
        <v>23</v>
      </c>
      <c r="E115" s="288">
        <v>1040</v>
      </c>
      <c r="F115" s="204">
        <f t="shared" si="42"/>
        <v>1040</v>
      </c>
      <c r="G115" s="188">
        <v>312</v>
      </c>
      <c r="H115" s="204">
        <f t="shared" si="43"/>
        <v>312</v>
      </c>
      <c r="I115" s="204">
        <f t="shared" si="44"/>
        <v>1352</v>
      </c>
      <c r="J115" s="542"/>
      <c r="K115" s="470"/>
      <c r="L115" s="470"/>
      <c r="M115" s="470"/>
      <c r="N115" s="470"/>
      <c r="O115" s="470"/>
      <c r="P115" s="470"/>
      <c r="Q115" s="470"/>
      <c r="R115" s="470"/>
      <c r="S115" s="470"/>
      <c r="T115" s="470"/>
    </row>
    <row r="116" spans="1:20" s="191" customFormat="1" x14ac:dyDescent="0.7">
      <c r="A116" s="247"/>
      <c r="B116" s="252" t="s">
        <v>235</v>
      </c>
      <c r="C116" s="362"/>
      <c r="D116" s="248"/>
      <c r="E116" s="249"/>
      <c r="F116" s="250">
        <f>SUM(F106:F115)</f>
        <v>24809.8</v>
      </c>
      <c r="G116" s="249"/>
      <c r="H116" s="250">
        <f>SUM(H106:H115)</f>
        <v>6860</v>
      </c>
      <c r="I116" s="250">
        <f>SUM(I106:I115)</f>
        <v>31669.8</v>
      </c>
      <c r="J116" s="544"/>
      <c r="K116" s="470"/>
      <c r="L116" s="470"/>
      <c r="M116" s="470"/>
      <c r="N116" s="470"/>
      <c r="O116" s="470"/>
      <c r="P116" s="470"/>
      <c r="Q116" s="470"/>
      <c r="R116" s="470"/>
      <c r="S116" s="470"/>
      <c r="T116" s="470"/>
    </row>
    <row r="117" spans="1:20" s="191" customFormat="1" x14ac:dyDescent="0.7">
      <c r="A117" s="201">
        <v>8.9</v>
      </c>
      <c r="B117" s="224" t="s">
        <v>365</v>
      </c>
      <c r="C117" s="140"/>
      <c r="D117" s="187"/>
      <c r="E117" s="203"/>
      <c r="F117" s="204"/>
      <c r="G117" s="203"/>
      <c r="H117" s="204"/>
      <c r="I117" s="204"/>
      <c r="J117" s="542"/>
      <c r="K117" s="470"/>
      <c r="L117" s="470"/>
      <c r="M117" s="470"/>
      <c r="N117" s="470"/>
      <c r="O117" s="470"/>
      <c r="P117" s="470"/>
      <c r="Q117" s="470"/>
      <c r="R117" s="470"/>
      <c r="S117" s="470"/>
      <c r="T117" s="470"/>
    </row>
    <row r="118" spans="1:20" s="191" customFormat="1" x14ac:dyDescent="0.7">
      <c r="A118" s="201"/>
      <c r="B118" s="224" t="s">
        <v>364</v>
      </c>
      <c r="C118" s="140"/>
      <c r="D118" s="187"/>
      <c r="E118" s="203"/>
      <c r="F118" s="204"/>
      <c r="G118" s="203"/>
      <c r="H118" s="204"/>
      <c r="I118" s="204"/>
      <c r="J118" s="542"/>
      <c r="K118" s="470"/>
      <c r="L118" s="470"/>
      <c r="M118" s="470"/>
      <c r="N118" s="470"/>
      <c r="O118" s="470"/>
      <c r="P118" s="470"/>
      <c r="Q118" s="470"/>
      <c r="R118" s="470"/>
      <c r="S118" s="470"/>
      <c r="T118" s="470"/>
    </row>
    <row r="119" spans="1:20" s="191" customFormat="1" x14ac:dyDescent="0.7">
      <c r="A119" s="266" t="s">
        <v>242</v>
      </c>
      <c r="B119" s="182" t="s">
        <v>248</v>
      </c>
      <c r="C119" s="140">
        <v>1</v>
      </c>
      <c r="D119" s="138" t="s">
        <v>23</v>
      </c>
      <c r="E119" s="294">
        <v>2760</v>
      </c>
      <c r="F119" s="198">
        <f t="shared" ref="F119:F136" si="45">C119*E119</f>
        <v>2760</v>
      </c>
      <c r="G119" s="197">
        <v>2000</v>
      </c>
      <c r="H119" s="198">
        <f t="shared" ref="H119:H136" si="46">C119*G119</f>
        <v>2000</v>
      </c>
      <c r="I119" s="198">
        <f t="shared" ref="I119:I136" si="47">SUM(F119,H119)</f>
        <v>4760</v>
      </c>
      <c r="J119" s="542"/>
      <c r="K119" s="470"/>
      <c r="L119" s="470"/>
      <c r="M119" s="470"/>
      <c r="N119" s="470"/>
      <c r="O119" s="470"/>
      <c r="P119" s="470"/>
      <c r="Q119" s="470"/>
      <c r="R119" s="470"/>
      <c r="S119" s="470"/>
      <c r="T119" s="470"/>
    </row>
    <row r="120" spans="1:20" s="191" customFormat="1" x14ac:dyDescent="0.7">
      <c r="A120" s="266" t="s">
        <v>243</v>
      </c>
      <c r="B120" s="182" t="s">
        <v>249</v>
      </c>
      <c r="C120" s="222">
        <v>3</v>
      </c>
      <c r="D120" s="138" t="s">
        <v>23</v>
      </c>
      <c r="E120" s="294">
        <v>5800</v>
      </c>
      <c r="F120" s="198">
        <f t="shared" si="45"/>
        <v>17400</v>
      </c>
      <c r="G120" s="197">
        <v>1000</v>
      </c>
      <c r="H120" s="198">
        <f t="shared" si="46"/>
        <v>3000</v>
      </c>
      <c r="I120" s="198">
        <f t="shared" si="47"/>
        <v>20400</v>
      </c>
      <c r="J120" s="542"/>
      <c r="K120" s="470"/>
      <c r="L120" s="470"/>
      <c r="M120" s="470"/>
      <c r="N120" s="470"/>
      <c r="O120" s="470"/>
      <c r="P120" s="470"/>
      <c r="Q120" s="470"/>
      <c r="R120" s="470"/>
      <c r="S120" s="470"/>
      <c r="T120" s="470"/>
    </row>
    <row r="121" spans="1:20" s="191" customFormat="1" x14ac:dyDescent="0.7">
      <c r="A121" s="266" t="s">
        <v>244</v>
      </c>
      <c r="B121" s="182" t="s">
        <v>250</v>
      </c>
      <c r="C121" s="140">
        <v>1</v>
      </c>
      <c r="D121" s="138" t="s">
        <v>55</v>
      </c>
      <c r="E121" s="294">
        <v>2000</v>
      </c>
      <c r="F121" s="198">
        <f t="shared" si="45"/>
        <v>2000</v>
      </c>
      <c r="G121" s="197">
        <v>700</v>
      </c>
      <c r="H121" s="198">
        <f t="shared" si="46"/>
        <v>700</v>
      </c>
      <c r="I121" s="198">
        <f t="shared" si="47"/>
        <v>2700</v>
      </c>
      <c r="J121" s="542"/>
      <c r="K121" s="470"/>
      <c r="L121" s="470"/>
      <c r="M121" s="470"/>
      <c r="N121" s="470"/>
      <c r="O121" s="470"/>
      <c r="P121" s="470"/>
      <c r="Q121" s="470"/>
      <c r="R121" s="470"/>
      <c r="S121" s="470"/>
      <c r="T121" s="470"/>
    </row>
    <row r="122" spans="1:20" s="191" customFormat="1" x14ac:dyDescent="0.7">
      <c r="A122" s="266" t="s">
        <v>245</v>
      </c>
      <c r="B122" s="182" t="s">
        <v>251</v>
      </c>
      <c r="C122" s="140">
        <v>1</v>
      </c>
      <c r="D122" s="138" t="s">
        <v>55</v>
      </c>
      <c r="E122" s="294">
        <v>2500</v>
      </c>
      <c r="F122" s="198">
        <f t="shared" si="45"/>
        <v>2500</v>
      </c>
      <c r="G122" s="197">
        <v>700</v>
      </c>
      <c r="H122" s="198">
        <f t="shared" si="46"/>
        <v>700</v>
      </c>
      <c r="I122" s="198">
        <f t="shared" si="47"/>
        <v>3200</v>
      </c>
      <c r="J122" s="542"/>
      <c r="K122" s="470"/>
      <c r="L122" s="470"/>
      <c r="M122" s="470"/>
      <c r="N122" s="470"/>
      <c r="O122" s="470"/>
      <c r="P122" s="470"/>
      <c r="Q122" s="470"/>
      <c r="R122" s="470"/>
      <c r="S122" s="470"/>
      <c r="T122" s="470"/>
    </row>
    <row r="123" spans="1:20" s="191" customFormat="1" x14ac:dyDescent="0.7">
      <c r="A123" s="266" t="s">
        <v>246</v>
      </c>
      <c r="B123" s="182" t="s">
        <v>252</v>
      </c>
      <c r="C123" s="140">
        <v>1</v>
      </c>
      <c r="D123" s="138" t="s">
        <v>23</v>
      </c>
      <c r="E123" s="294">
        <v>5000</v>
      </c>
      <c r="F123" s="198">
        <f t="shared" si="45"/>
        <v>5000</v>
      </c>
      <c r="G123" s="197">
        <v>1000</v>
      </c>
      <c r="H123" s="198">
        <f t="shared" si="46"/>
        <v>1000</v>
      </c>
      <c r="I123" s="198">
        <f t="shared" si="47"/>
        <v>6000</v>
      </c>
      <c r="J123" s="542"/>
      <c r="K123" s="470"/>
      <c r="L123" s="470"/>
      <c r="M123" s="470"/>
      <c r="N123" s="470"/>
      <c r="O123" s="470"/>
      <c r="P123" s="470"/>
      <c r="Q123" s="470"/>
      <c r="R123" s="470"/>
      <c r="S123" s="470"/>
      <c r="T123" s="470"/>
    </row>
    <row r="124" spans="1:20" s="191" customFormat="1" x14ac:dyDescent="0.7">
      <c r="A124" s="266" t="s">
        <v>247</v>
      </c>
      <c r="B124" s="182" t="s">
        <v>253</v>
      </c>
      <c r="C124" s="140">
        <v>50</v>
      </c>
      <c r="D124" s="138" t="s">
        <v>41</v>
      </c>
      <c r="E124" s="294">
        <v>109.7</v>
      </c>
      <c r="F124" s="198">
        <f t="shared" si="45"/>
        <v>5485</v>
      </c>
      <c r="G124" s="197">
        <v>20</v>
      </c>
      <c r="H124" s="198">
        <f t="shared" si="46"/>
        <v>1000</v>
      </c>
      <c r="I124" s="198">
        <f t="shared" si="47"/>
        <v>6485</v>
      </c>
      <c r="J124" s="542"/>
      <c r="K124" s="470"/>
      <c r="L124" s="470"/>
      <c r="M124" s="470"/>
      <c r="N124" s="470"/>
      <c r="O124" s="470"/>
      <c r="P124" s="470"/>
      <c r="Q124" s="470"/>
      <c r="R124" s="470"/>
      <c r="S124" s="470"/>
      <c r="T124" s="470"/>
    </row>
    <row r="125" spans="1:20" s="191" customFormat="1" x14ac:dyDescent="0.7">
      <c r="A125" s="266" t="s">
        <v>312</v>
      </c>
      <c r="B125" s="182" t="s">
        <v>311</v>
      </c>
      <c r="C125" s="140">
        <v>1</v>
      </c>
      <c r="D125" s="138" t="s">
        <v>23</v>
      </c>
      <c r="E125" s="294">
        <v>8500</v>
      </c>
      <c r="F125" s="198">
        <f t="shared" si="45"/>
        <v>8500</v>
      </c>
      <c r="G125" s="197"/>
      <c r="H125" s="198">
        <f t="shared" si="46"/>
        <v>0</v>
      </c>
      <c r="I125" s="198">
        <f t="shared" si="47"/>
        <v>8500</v>
      </c>
      <c r="J125" s="542"/>
      <c r="K125" s="470"/>
      <c r="L125" s="470"/>
      <c r="M125" s="470"/>
      <c r="N125" s="470"/>
      <c r="O125" s="470"/>
      <c r="P125" s="470"/>
      <c r="Q125" s="470"/>
      <c r="R125" s="470"/>
      <c r="S125" s="470"/>
      <c r="T125" s="470"/>
    </row>
    <row r="126" spans="1:20" s="191" customFormat="1" x14ac:dyDescent="0.7">
      <c r="A126" s="254"/>
      <c r="B126" s="259" t="s">
        <v>238</v>
      </c>
      <c r="C126" s="255"/>
      <c r="D126" s="256"/>
      <c r="E126" s="257"/>
      <c r="F126" s="250">
        <f>SUM(F119:F125)</f>
        <v>43645</v>
      </c>
      <c r="G126" s="257"/>
      <c r="H126" s="250">
        <f>SUM(H119:H125)</f>
        <v>8400</v>
      </c>
      <c r="I126" s="250">
        <f>SUM(I119:I125)</f>
        <v>52045</v>
      </c>
      <c r="J126" s="544"/>
      <c r="K126" s="470"/>
      <c r="L126" s="470"/>
      <c r="M126" s="470"/>
      <c r="N126" s="470"/>
      <c r="O126" s="470"/>
      <c r="P126" s="470"/>
      <c r="Q126" s="470"/>
      <c r="R126" s="470"/>
      <c r="S126" s="470"/>
      <c r="T126" s="470"/>
    </row>
    <row r="127" spans="1:20" s="191" customFormat="1" x14ac:dyDescent="0.7">
      <c r="A127" s="267">
        <v>8.1</v>
      </c>
      <c r="B127" s="224" t="s">
        <v>337</v>
      </c>
      <c r="C127" s="140"/>
      <c r="D127" s="138"/>
      <c r="E127" s="197"/>
      <c r="F127" s="198"/>
      <c r="G127" s="197"/>
      <c r="H127" s="198"/>
      <c r="I127" s="198"/>
      <c r="J127" s="542"/>
      <c r="K127" s="470"/>
      <c r="L127" s="470"/>
      <c r="M127" s="470"/>
      <c r="N127" s="470"/>
      <c r="O127" s="470"/>
      <c r="P127" s="470"/>
      <c r="Q127" s="470"/>
      <c r="R127" s="470"/>
      <c r="S127" s="470"/>
      <c r="T127" s="470"/>
    </row>
    <row r="128" spans="1:20" s="191" customFormat="1" x14ac:dyDescent="0.7">
      <c r="A128" s="266" t="s">
        <v>254</v>
      </c>
      <c r="B128" s="182" t="s">
        <v>339</v>
      </c>
      <c r="C128" s="140">
        <v>2</v>
      </c>
      <c r="D128" s="138" t="s">
        <v>23</v>
      </c>
      <c r="E128" s="294"/>
      <c r="F128" s="198">
        <f t="shared" si="45"/>
        <v>0</v>
      </c>
      <c r="G128" s="197"/>
      <c r="H128" s="198">
        <f t="shared" si="46"/>
        <v>0</v>
      </c>
      <c r="I128" s="198">
        <f t="shared" si="47"/>
        <v>0</v>
      </c>
      <c r="J128" s="542"/>
      <c r="K128" s="470"/>
      <c r="L128" s="470"/>
      <c r="M128" s="470"/>
      <c r="N128" s="470"/>
      <c r="O128" s="470"/>
      <c r="P128" s="470"/>
      <c r="Q128" s="470"/>
      <c r="R128" s="470"/>
      <c r="S128" s="470"/>
      <c r="T128" s="470"/>
    </row>
    <row r="129" spans="1:20" s="191" customFormat="1" x14ac:dyDescent="0.7">
      <c r="A129" s="266" t="s">
        <v>255</v>
      </c>
      <c r="B129" s="182" t="s">
        <v>258</v>
      </c>
      <c r="C129" s="222">
        <v>207</v>
      </c>
      <c r="D129" s="138" t="s">
        <v>24</v>
      </c>
      <c r="E129" s="294"/>
      <c r="F129" s="332">
        <f t="shared" si="45"/>
        <v>0</v>
      </c>
      <c r="G129" s="294">
        <v>121</v>
      </c>
      <c r="H129" s="198">
        <f t="shared" si="46"/>
        <v>25047</v>
      </c>
      <c r="I129" s="198">
        <f t="shared" si="47"/>
        <v>25047</v>
      </c>
      <c r="J129" s="542"/>
      <c r="K129" s="470"/>
      <c r="L129" s="470"/>
      <c r="M129" s="470"/>
      <c r="N129" s="470"/>
      <c r="O129" s="470"/>
      <c r="P129" s="470"/>
      <c r="Q129" s="470"/>
      <c r="R129" s="470"/>
      <c r="S129" s="470"/>
      <c r="T129" s="470"/>
    </row>
    <row r="130" spans="1:20" s="191" customFormat="1" x14ac:dyDescent="0.7">
      <c r="A130" s="266" t="s">
        <v>256</v>
      </c>
      <c r="B130" s="182" t="s">
        <v>340</v>
      </c>
      <c r="C130" s="222">
        <f>+(7.7*7*1.25)-30</f>
        <v>37.375</v>
      </c>
      <c r="D130" s="138" t="s">
        <v>24</v>
      </c>
      <c r="E130" s="294">
        <v>514</v>
      </c>
      <c r="F130" s="332">
        <f t="shared" si="45"/>
        <v>19210.75</v>
      </c>
      <c r="G130" s="294">
        <v>112</v>
      </c>
      <c r="H130" s="198">
        <f t="shared" si="46"/>
        <v>4186</v>
      </c>
      <c r="I130" s="198">
        <f t="shared" si="47"/>
        <v>23396.75</v>
      </c>
      <c r="J130" s="542"/>
      <c r="K130" s="470"/>
      <c r="L130" s="470"/>
      <c r="M130" s="470"/>
      <c r="N130" s="470"/>
      <c r="O130" s="470"/>
      <c r="P130" s="470"/>
      <c r="Q130" s="470"/>
      <c r="R130" s="470"/>
      <c r="S130" s="470"/>
      <c r="T130" s="470"/>
    </row>
    <row r="131" spans="1:20" s="191" customFormat="1" x14ac:dyDescent="0.7">
      <c r="A131" s="266" t="s">
        <v>345</v>
      </c>
      <c r="B131" s="182" t="s">
        <v>334</v>
      </c>
      <c r="C131" s="140">
        <f>7.7*7*0.05*1.25</f>
        <v>3.3687500000000004</v>
      </c>
      <c r="D131" s="138" t="s">
        <v>24</v>
      </c>
      <c r="E131" s="294">
        <v>514</v>
      </c>
      <c r="F131" s="332">
        <f t="shared" si="45"/>
        <v>1731.5375000000001</v>
      </c>
      <c r="G131" s="294">
        <v>112</v>
      </c>
      <c r="H131" s="198">
        <f t="shared" si="46"/>
        <v>377.30000000000007</v>
      </c>
      <c r="I131" s="198">
        <f t="shared" si="47"/>
        <v>2108.8375000000001</v>
      </c>
      <c r="J131" s="542"/>
      <c r="K131" s="470"/>
      <c r="L131" s="470"/>
      <c r="M131" s="470"/>
      <c r="N131" s="470"/>
      <c r="O131" s="470"/>
      <c r="P131" s="470"/>
      <c r="Q131" s="470"/>
      <c r="R131" s="470"/>
      <c r="S131" s="470"/>
      <c r="T131" s="470"/>
    </row>
    <row r="132" spans="1:20" s="191" customFormat="1" x14ac:dyDescent="0.7">
      <c r="A132" s="266" t="s">
        <v>346</v>
      </c>
      <c r="B132" s="182" t="s">
        <v>259</v>
      </c>
      <c r="C132" s="140">
        <f>7.7*7*0.2</f>
        <v>10.780000000000001</v>
      </c>
      <c r="D132" s="138" t="s">
        <v>24</v>
      </c>
      <c r="E132" s="294">
        <v>2216.62</v>
      </c>
      <c r="F132" s="198">
        <f t="shared" si="45"/>
        <v>23895.1636</v>
      </c>
      <c r="G132" s="294">
        <v>419</v>
      </c>
      <c r="H132" s="198">
        <f t="shared" si="46"/>
        <v>4516.8200000000006</v>
      </c>
      <c r="I132" s="198">
        <f t="shared" si="47"/>
        <v>28411.9836</v>
      </c>
      <c r="J132" s="542"/>
      <c r="K132" s="470"/>
      <c r="L132" s="470"/>
      <c r="M132" s="470"/>
      <c r="N132" s="470"/>
      <c r="O132" s="470"/>
      <c r="P132" s="470"/>
      <c r="Q132" s="470"/>
      <c r="R132" s="470"/>
      <c r="S132" s="470"/>
      <c r="T132" s="470"/>
    </row>
    <row r="133" spans="1:20" s="191" customFormat="1" x14ac:dyDescent="0.7">
      <c r="A133" s="266" t="s">
        <v>347</v>
      </c>
      <c r="B133" s="182" t="s">
        <v>260</v>
      </c>
      <c r="C133" s="222">
        <f>77*7*0.888*1.09*2</f>
        <v>1043.41776</v>
      </c>
      <c r="D133" s="138" t="s">
        <v>35</v>
      </c>
      <c r="E133" s="294">
        <v>22.89</v>
      </c>
      <c r="F133" s="295">
        <f t="shared" si="45"/>
        <v>23883.832526400001</v>
      </c>
      <c r="G133" s="294">
        <v>3.6</v>
      </c>
      <c r="H133" s="295">
        <f t="shared" si="46"/>
        <v>3756.3039360000002</v>
      </c>
      <c r="I133" s="295">
        <f t="shared" si="47"/>
        <v>27640.136462400002</v>
      </c>
      <c r="J133" s="542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</row>
    <row r="134" spans="1:20" s="191" customFormat="1" x14ac:dyDescent="0.7">
      <c r="A134" s="266" t="s">
        <v>348</v>
      </c>
      <c r="B134" s="182" t="s">
        <v>261</v>
      </c>
      <c r="C134" s="140">
        <f>30*C133/1000</f>
        <v>31.302532800000002</v>
      </c>
      <c r="D134" s="138" t="s">
        <v>35</v>
      </c>
      <c r="E134" s="298">
        <v>46.73</v>
      </c>
      <c r="F134" s="284">
        <f t="shared" si="45"/>
        <v>1462.767357744</v>
      </c>
      <c r="G134" s="298"/>
      <c r="H134" s="284">
        <f t="shared" si="46"/>
        <v>0</v>
      </c>
      <c r="I134" s="198">
        <f t="shared" si="47"/>
        <v>1462.767357744</v>
      </c>
      <c r="J134" s="542"/>
      <c r="K134" s="470"/>
      <c r="L134" s="470"/>
      <c r="M134" s="470"/>
      <c r="N134" s="470"/>
      <c r="O134" s="470"/>
      <c r="P134" s="470"/>
      <c r="Q134" s="470"/>
      <c r="R134" s="470"/>
      <c r="S134" s="470"/>
      <c r="T134" s="470"/>
    </row>
    <row r="135" spans="1:20" s="191" customFormat="1" x14ac:dyDescent="0.7">
      <c r="A135" s="266" t="s">
        <v>349</v>
      </c>
      <c r="B135" s="182" t="s">
        <v>335</v>
      </c>
      <c r="C135" s="140">
        <f>+(7.7+7.7+14)*0.2</f>
        <v>5.88</v>
      </c>
      <c r="D135" s="138" t="s">
        <v>25</v>
      </c>
      <c r="E135" s="139">
        <v>400</v>
      </c>
      <c r="F135" s="284">
        <f t="shared" si="45"/>
        <v>2352</v>
      </c>
      <c r="G135" s="139">
        <v>163</v>
      </c>
      <c r="H135" s="284">
        <f t="shared" si="46"/>
        <v>958.43999999999994</v>
      </c>
      <c r="I135" s="198">
        <f t="shared" si="47"/>
        <v>3310.44</v>
      </c>
      <c r="J135" s="542"/>
      <c r="K135" s="470"/>
      <c r="L135" s="470"/>
      <c r="M135" s="470"/>
      <c r="N135" s="470"/>
      <c r="O135" s="470"/>
      <c r="P135" s="470"/>
      <c r="Q135" s="470"/>
      <c r="R135" s="470"/>
      <c r="S135" s="470"/>
      <c r="T135" s="470"/>
    </row>
    <row r="136" spans="1:20" s="191" customFormat="1" x14ac:dyDescent="0.7">
      <c r="A136" s="266" t="s">
        <v>350</v>
      </c>
      <c r="B136" s="182" t="s">
        <v>336</v>
      </c>
      <c r="C136" s="140">
        <v>8</v>
      </c>
      <c r="D136" s="138" t="s">
        <v>84</v>
      </c>
      <c r="E136" s="298">
        <v>250</v>
      </c>
      <c r="F136" s="284">
        <f t="shared" si="45"/>
        <v>2000</v>
      </c>
      <c r="G136" s="298"/>
      <c r="H136" s="284">
        <f t="shared" si="46"/>
        <v>0</v>
      </c>
      <c r="I136" s="198">
        <f t="shared" si="47"/>
        <v>2000</v>
      </c>
      <c r="J136" s="542"/>
      <c r="K136" s="470"/>
      <c r="L136" s="470"/>
      <c r="M136" s="470"/>
      <c r="N136" s="470"/>
      <c r="O136" s="470"/>
      <c r="P136" s="470"/>
      <c r="Q136" s="470"/>
      <c r="R136" s="470"/>
      <c r="S136" s="470"/>
      <c r="T136" s="470"/>
    </row>
    <row r="137" spans="1:20" s="191" customFormat="1" x14ac:dyDescent="0.7">
      <c r="A137" s="254"/>
      <c r="B137" s="259" t="s">
        <v>239</v>
      </c>
      <c r="C137" s="255"/>
      <c r="D137" s="256"/>
      <c r="E137" s="257"/>
      <c r="F137" s="250">
        <f>SUM(F128:F136)</f>
        <v>74536.050984143993</v>
      </c>
      <c r="G137" s="257"/>
      <c r="H137" s="250">
        <f>SUM(H129:H136)</f>
        <v>38841.863936000009</v>
      </c>
      <c r="I137" s="250">
        <f>SUM(I128:I136)</f>
        <v>113377.914920144</v>
      </c>
      <c r="J137" s="544"/>
      <c r="K137" s="470"/>
      <c r="L137" s="470"/>
      <c r="M137" s="470"/>
      <c r="N137" s="470"/>
      <c r="O137" s="470"/>
      <c r="P137" s="470"/>
      <c r="Q137" s="470"/>
      <c r="R137" s="470"/>
      <c r="S137" s="470"/>
      <c r="T137" s="470"/>
    </row>
    <row r="138" spans="1:20" s="191" customFormat="1" x14ac:dyDescent="0.7">
      <c r="A138" s="274">
        <v>8.11</v>
      </c>
      <c r="B138" s="273" t="s">
        <v>338</v>
      </c>
      <c r="C138" s="149"/>
      <c r="D138" s="138"/>
      <c r="E138" s="197"/>
      <c r="F138" s="205"/>
      <c r="G138" s="197"/>
      <c r="H138" s="205"/>
      <c r="I138" s="205"/>
      <c r="J138" s="547"/>
      <c r="K138" s="470"/>
      <c r="L138" s="470"/>
      <c r="M138" s="470"/>
      <c r="N138" s="470"/>
      <c r="O138" s="470"/>
      <c r="P138" s="470"/>
      <c r="Q138" s="470"/>
      <c r="R138" s="470"/>
      <c r="S138" s="470"/>
      <c r="T138" s="470"/>
    </row>
    <row r="139" spans="1:20" s="191" customFormat="1" x14ac:dyDescent="0.7">
      <c r="A139" s="274" t="s">
        <v>257</v>
      </c>
      <c r="B139" s="273" t="s">
        <v>316</v>
      </c>
      <c r="C139" s="149"/>
      <c r="D139" s="138"/>
      <c r="E139" s="197"/>
      <c r="F139" s="205"/>
      <c r="G139" s="197"/>
      <c r="H139" s="205"/>
      <c r="I139" s="205"/>
      <c r="J139" s="547"/>
      <c r="K139" s="470"/>
      <c r="L139" s="470"/>
      <c r="M139" s="470"/>
      <c r="N139" s="470"/>
      <c r="O139" s="470"/>
      <c r="P139" s="470"/>
      <c r="Q139" s="470"/>
      <c r="R139" s="470"/>
      <c r="S139" s="470"/>
      <c r="T139" s="470"/>
    </row>
    <row r="140" spans="1:20" s="191" customFormat="1" x14ac:dyDescent="0.7">
      <c r="A140" s="296" t="s">
        <v>351</v>
      </c>
      <c r="B140" s="277" t="s">
        <v>263</v>
      </c>
      <c r="C140" s="284">
        <v>1.6</v>
      </c>
      <c r="D140" s="297" t="s">
        <v>24</v>
      </c>
      <c r="E140" s="288">
        <v>2216.62</v>
      </c>
      <c r="F140" s="284">
        <f t="shared" ref="F140:F143" si="48">C140*E140</f>
        <v>3546.5920000000001</v>
      </c>
      <c r="G140" s="139">
        <v>329</v>
      </c>
      <c r="H140" s="284">
        <f t="shared" ref="H140:H144" si="49">C140*G140</f>
        <v>526.4</v>
      </c>
      <c r="I140" s="292">
        <f t="shared" ref="I140" si="50">F140+H140</f>
        <v>4072.9920000000002</v>
      </c>
      <c r="J140" s="537"/>
      <c r="K140" s="470"/>
      <c r="L140" s="470"/>
      <c r="M140" s="470"/>
      <c r="N140" s="470"/>
      <c r="O140" s="470"/>
      <c r="P140" s="470"/>
      <c r="Q140" s="470"/>
      <c r="R140" s="470"/>
      <c r="S140" s="470"/>
      <c r="T140" s="470"/>
    </row>
    <row r="141" spans="1:20" s="191" customFormat="1" x14ac:dyDescent="0.7">
      <c r="A141" s="296" t="s">
        <v>352</v>
      </c>
      <c r="B141" s="277" t="s">
        <v>260</v>
      </c>
      <c r="C141" s="284">
        <f>1.2*10*0.888*1.09</f>
        <v>11.615040000000002</v>
      </c>
      <c r="D141" s="297" t="s">
        <v>35</v>
      </c>
      <c r="E141" s="294">
        <v>22.89</v>
      </c>
      <c r="F141" s="295">
        <f t="shared" si="48"/>
        <v>265.86826560000009</v>
      </c>
      <c r="G141" s="294">
        <v>3.6</v>
      </c>
      <c r="H141" s="295">
        <f t="shared" si="49"/>
        <v>41.814144000000006</v>
      </c>
      <c r="I141" s="295">
        <f t="shared" ref="I141:I143" si="51">SUM(F141,H141)</f>
        <v>307.68240960000008</v>
      </c>
      <c r="J141" s="548"/>
      <c r="K141" s="470"/>
      <c r="L141" s="470"/>
      <c r="M141" s="470"/>
      <c r="N141" s="470"/>
      <c r="O141" s="470"/>
      <c r="P141" s="470"/>
      <c r="Q141" s="470"/>
      <c r="R141" s="470"/>
      <c r="S141" s="470"/>
      <c r="T141" s="470"/>
    </row>
    <row r="142" spans="1:20" s="191" customFormat="1" x14ac:dyDescent="0.7">
      <c r="A142" s="296" t="s">
        <v>353</v>
      </c>
      <c r="B142" s="277" t="s">
        <v>262</v>
      </c>
      <c r="C142" s="284">
        <f>((0.2*0.8*4*4)+(0.2*0.8*4*6))</f>
        <v>6.4000000000000012</v>
      </c>
      <c r="D142" s="297" t="s">
        <v>25</v>
      </c>
      <c r="E142" s="298">
        <v>400</v>
      </c>
      <c r="F142" s="284">
        <f t="shared" si="48"/>
        <v>2560.0000000000005</v>
      </c>
      <c r="G142" s="139">
        <v>163</v>
      </c>
      <c r="H142" s="284">
        <f t="shared" si="49"/>
        <v>1043.2000000000003</v>
      </c>
      <c r="I142" s="295">
        <f t="shared" si="51"/>
        <v>3603.2000000000007</v>
      </c>
      <c r="J142" s="547"/>
      <c r="K142" s="470"/>
      <c r="L142" s="470"/>
      <c r="M142" s="470"/>
      <c r="N142" s="470"/>
      <c r="O142" s="470"/>
      <c r="P142" s="470"/>
      <c r="Q142" s="470"/>
      <c r="R142" s="470"/>
      <c r="S142" s="470"/>
      <c r="T142" s="470"/>
    </row>
    <row r="143" spans="1:20" s="191" customFormat="1" x14ac:dyDescent="0.7">
      <c r="A143" s="296" t="s">
        <v>372</v>
      </c>
      <c r="B143" s="283" t="s">
        <v>261</v>
      </c>
      <c r="C143" s="225">
        <f>(C141/1000)*30</f>
        <v>0.34845120000000007</v>
      </c>
      <c r="D143" s="289" t="s">
        <v>35</v>
      </c>
      <c r="E143" s="188">
        <v>46.73</v>
      </c>
      <c r="F143" s="186">
        <f t="shared" si="48"/>
        <v>16.283124576000002</v>
      </c>
      <c r="G143" s="188"/>
      <c r="H143" s="186">
        <f t="shared" si="49"/>
        <v>0</v>
      </c>
      <c r="I143" s="186">
        <f t="shared" si="51"/>
        <v>16.283124576000002</v>
      </c>
      <c r="J143" s="542"/>
      <c r="K143" s="470"/>
      <c r="L143" s="470"/>
      <c r="M143" s="470"/>
      <c r="N143" s="470"/>
      <c r="O143" s="470"/>
      <c r="P143" s="470"/>
      <c r="Q143" s="470"/>
      <c r="R143" s="470"/>
      <c r="S143" s="470"/>
      <c r="T143" s="470"/>
    </row>
    <row r="144" spans="1:20" s="191" customFormat="1" x14ac:dyDescent="0.7">
      <c r="A144" s="296" t="s">
        <v>373</v>
      </c>
      <c r="B144" s="283" t="s">
        <v>300</v>
      </c>
      <c r="C144" s="225">
        <f>C142/0.25</f>
        <v>25.600000000000005</v>
      </c>
      <c r="D144" s="289" t="s">
        <v>35</v>
      </c>
      <c r="E144" s="188">
        <v>47</v>
      </c>
      <c r="F144" s="186">
        <f>C144*E144</f>
        <v>1203.2000000000003</v>
      </c>
      <c r="G144" s="188"/>
      <c r="H144" s="186">
        <f t="shared" si="49"/>
        <v>0</v>
      </c>
      <c r="I144" s="186">
        <f>F144+H144</f>
        <v>1203.2000000000003</v>
      </c>
      <c r="J144" s="542"/>
      <c r="K144" s="470"/>
      <c r="L144" s="470"/>
      <c r="M144" s="470"/>
      <c r="N144" s="470"/>
      <c r="O144" s="470"/>
      <c r="P144" s="470"/>
      <c r="Q144" s="470"/>
      <c r="R144" s="470"/>
      <c r="S144" s="470"/>
      <c r="T144" s="470"/>
    </row>
    <row r="145" spans="1:20" s="191" customFormat="1" x14ac:dyDescent="0.7">
      <c r="A145" s="274" t="s">
        <v>377</v>
      </c>
      <c r="B145" s="299" t="s">
        <v>317</v>
      </c>
      <c r="C145" s="282"/>
      <c r="D145" s="138"/>
      <c r="E145" s="285"/>
      <c r="F145" s="149"/>
      <c r="G145" s="285"/>
      <c r="H145" s="149"/>
      <c r="I145" s="205"/>
      <c r="J145" s="547"/>
      <c r="K145" s="470"/>
      <c r="L145" s="470"/>
      <c r="M145" s="470"/>
      <c r="N145" s="470"/>
      <c r="O145" s="470"/>
      <c r="P145" s="470"/>
      <c r="Q145" s="470"/>
      <c r="R145" s="470"/>
      <c r="S145" s="470"/>
      <c r="T145" s="470"/>
    </row>
    <row r="146" spans="1:20" s="191" customFormat="1" x14ac:dyDescent="0.7">
      <c r="A146" s="334" t="s">
        <v>378</v>
      </c>
      <c r="B146" s="277" t="s">
        <v>313</v>
      </c>
      <c r="C146" s="284">
        <f>((0.2*4)*(3.45/0.15)*4*0.222*1.05)+((0.2*4)*(0.5/0.15)*6*0.222*1.05)</f>
        <v>20.885760000000005</v>
      </c>
      <c r="D146" s="297" t="s">
        <v>35</v>
      </c>
      <c r="E146" s="345">
        <v>21.26</v>
      </c>
      <c r="F146" s="290">
        <f t="shared" ref="F146" si="52">C146*E146</f>
        <v>444.03125760000012</v>
      </c>
      <c r="G146" s="345">
        <v>4.4000000000000004</v>
      </c>
      <c r="H146" s="290">
        <f t="shared" ref="H146" si="53">C146*G146</f>
        <v>91.897344000000032</v>
      </c>
      <c r="I146" s="290">
        <f t="shared" ref="I146" si="54">SUM(F146,H146)</f>
        <v>535.92860160000009</v>
      </c>
      <c r="J146" s="537"/>
      <c r="K146" s="470"/>
      <c r="L146" s="470"/>
      <c r="M146" s="470"/>
      <c r="N146" s="470"/>
      <c r="O146" s="470"/>
      <c r="P146" s="470"/>
      <c r="Q146" s="470"/>
      <c r="R146" s="470"/>
      <c r="S146" s="470"/>
      <c r="T146" s="470"/>
    </row>
    <row r="147" spans="1:20" s="191" customFormat="1" x14ac:dyDescent="0.7">
      <c r="A147" s="334" t="s">
        <v>379</v>
      </c>
      <c r="B147" s="277" t="s">
        <v>260</v>
      </c>
      <c r="C147" s="284">
        <f>((3.45+0.2+0.4)*6*4*0.888*1.09)+((0.4+0.2+0.5)*6*6*0.888*1.09)</f>
        <v>132.41145600000004</v>
      </c>
      <c r="D147" s="297" t="s">
        <v>35</v>
      </c>
      <c r="E147" s="294">
        <v>22.89</v>
      </c>
      <c r="F147" s="295">
        <f t="shared" ref="F147:F150" si="55">C147*E147</f>
        <v>3030.8982278400013</v>
      </c>
      <c r="G147" s="294">
        <v>3.6</v>
      </c>
      <c r="H147" s="295">
        <f t="shared" ref="H147:H151" si="56">C147*G147</f>
        <v>476.68124160000019</v>
      </c>
      <c r="I147" s="295">
        <f t="shared" ref="I147" si="57">SUM(F147,H147)</f>
        <v>3507.5794694400015</v>
      </c>
      <c r="J147" s="549"/>
      <c r="K147" s="470"/>
      <c r="L147" s="470"/>
      <c r="M147" s="470"/>
      <c r="N147" s="470"/>
      <c r="O147" s="470"/>
      <c r="P147" s="470"/>
      <c r="Q147" s="470"/>
      <c r="R147" s="470"/>
      <c r="S147" s="470"/>
      <c r="T147" s="470"/>
    </row>
    <row r="148" spans="1:20" s="191" customFormat="1" x14ac:dyDescent="0.7">
      <c r="A148" s="334" t="s">
        <v>380</v>
      </c>
      <c r="B148" s="277" t="s">
        <v>263</v>
      </c>
      <c r="C148" s="284">
        <f>ROUND((3.45*0.2*0.2*4)+(0.5*0.2*0.2*6),0)</f>
        <v>1</v>
      </c>
      <c r="D148" s="297" t="s">
        <v>24</v>
      </c>
      <c r="E148" s="288">
        <v>2216.62</v>
      </c>
      <c r="F148" s="284">
        <f t="shared" si="55"/>
        <v>2216.62</v>
      </c>
      <c r="G148" s="139">
        <v>329</v>
      </c>
      <c r="H148" s="284">
        <f t="shared" si="56"/>
        <v>329</v>
      </c>
      <c r="I148" s="292">
        <f t="shared" ref="I148" si="58">F148+H148</f>
        <v>2545.62</v>
      </c>
      <c r="J148" s="537"/>
      <c r="K148" s="470"/>
      <c r="L148" s="470"/>
      <c r="M148" s="470"/>
      <c r="N148" s="470"/>
      <c r="O148" s="470"/>
      <c r="P148" s="470"/>
      <c r="Q148" s="470"/>
      <c r="R148" s="470"/>
      <c r="S148" s="470"/>
      <c r="T148" s="470"/>
    </row>
    <row r="149" spans="1:20" s="191" customFormat="1" x14ac:dyDescent="0.7">
      <c r="A149" s="334" t="s">
        <v>381</v>
      </c>
      <c r="B149" s="277" t="s">
        <v>262</v>
      </c>
      <c r="C149" s="284">
        <f>((0.2*3.45*4*4)+(0.2*0.5*4*6))*0.7</f>
        <v>9.4079999999999995</v>
      </c>
      <c r="D149" s="297" t="s">
        <v>25</v>
      </c>
      <c r="E149" s="298">
        <v>400</v>
      </c>
      <c r="F149" s="284">
        <f t="shared" si="55"/>
        <v>3763.2</v>
      </c>
      <c r="G149" s="139">
        <v>163</v>
      </c>
      <c r="H149" s="284">
        <f t="shared" si="56"/>
        <v>1533.5039999999999</v>
      </c>
      <c r="I149" s="295">
        <f t="shared" ref="I149:I150" si="59">SUM(F149,H149)</f>
        <v>5296.7039999999997</v>
      </c>
      <c r="J149" s="547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</row>
    <row r="150" spans="1:20" s="200" customFormat="1" x14ac:dyDescent="0.7">
      <c r="A150" s="334" t="s">
        <v>382</v>
      </c>
      <c r="B150" s="283" t="s">
        <v>261</v>
      </c>
      <c r="C150" s="225">
        <f>((C146+C147)/1000*30)</f>
        <v>4.5989164800000015</v>
      </c>
      <c r="D150" s="289" t="s">
        <v>35</v>
      </c>
      <c r="E150" s="188">
        <v>46.73</v>
      </c>
      <c r="F150" s="186">
        <f t="shared" si="55"/>
        <v>214.90736711040006</v>
      </c>
      <c r="G150" s="188"/>
      <c r="H150" s="186">
        <f t="shared" si="56"/>
        <v>0</v>
      </c>
      <c r="I150" s="186">
        <f t="shared" si="59"/>
        <v>214.90736711040006</v>
      </c>
      <c r="J150" s="542"/>
      <c r="K150" s="470"/>
      <c r="L150" s="594"/>
      <c r="M150" s="622">
        <f>SUM(I117:I135)</f>
        <v>215467.91492014402</v>
      </c>
      <c r="N150" s="594"/>
      <c r="O150" s="594"/>
      <c r="P150" s="594"/>
      <c r="Q150" s="594"/>
      <c r="R150" s="594"/>
      <c r="S150" s="594"/>
      <c r="T150" s="594"/>
    </row>
    <row r="151" spans="1:20" s="200" customFormat="1" x14ac:dyDescent="0.7">
      <c r="A151" s="334" t="s">
        <v>383</v>
      </c>
      <c r="B151" s="283" t="s">
        <v>300</v>
      </c>
      <c r="C151" s="225">
        <f>C149/0.25</f>
        <v>37.631999999999998</v>
      </c>
      <c r="D151" s="289" t="s">
        <v>35</v>
      </c>
      <c r="E151" s="188">
        <v>47</v>
      </c>
      <c r="F151" s="186">
        <f>C151*E151</f>
        <v>1768.704</v>
      </c>
      <c r="G151" s="188"/>
      <c r="H151" s="186">
        <f t="shared" si="56"/>
        <v>0</v>
      </c>
      <c r="I151" s="186">
        <f>F151+H151</f>
        <v>1768.704</v>
      </c>
      <c r="J151" s="542"/>
      <c r="K151" s="470"/>
      <c r="L151" s="594"/>
      <c r="M151" s="622"/>
      <c r="N151" s="594"/>
      <c r="O151" s="594"/>
      <c r="P151" s="594"/>
      <c r="Q151" s="594"/>
      <c r="R151" s="594"/>
      <c r="S151" s="594"/>
      <c r="T151" s="594"/>
    </row>
    <row r="152" spans="1:20" s="200" customFormat="1" x14ac:dyDescent="0.7">
      <c r="A152" s="300" t="s">
        <v>384</v>
      </c>
      <c r="B152" s="299" t="s">
        <v>318</v>
      </c>
      <c r="C152" s="284"/>
      <c r="D152" s="297"/>
      <c r="E152" s="298"/>
      <c r="F152" s="284"/>
      <c r="G152" s="298"/>
      <c r="H152" s="284"/>
      <c r="I152" s="295"/>
      <c r="J152" s="547"/>
      <c r="K152" s="470"/>
      <c r="L152" s="594"/>
      <c r="M152" s="622"/>
      <c r="N152" s="594"/>
      <c r="O152" s="594"/>
      <c r="P152" s="594"/>
      <c r="Q152" s="594"/>
      <c r="R152" s="594"/>
      <c r="S152" s="594"/>
      <c r="T152" s="594"/>
    </row>
    <row r="153" spans="1:20" s="336" customFormat="1" x14ac:dyDescent="0.7">
      <c r="A153" s="334" t="s">
        <v>385</v>
      </c>
      <c r="B153" s="277" t="s">
        <v>313</v>
      </c>
      <c r="C153" s="284">
        <f>(1.2*(12.56/0.15)*0.222*1.05)+(1.2*(4.55/0.15)*0.222*1.05)+(1.2*(5.96/0.15)*0.222*1.05)</f>
        <v>43.020936000000006</v>
      </c>
      <c r="D153" s="297" t="s">
        <v>35</v>
      </c>
      <c r="E153" s="345">
        <v>21.26</v>
      </c>
      <c r="F153" s="290">
        <f t="shared" ref="F153" si="60">C153*E153</f>
        <v>914.62509936000015</v>
      </c>
      <c r="G153" s="345">
        <v>4.4000000000000004</v>
      </c>
      <c r="H153" s="290">
        <f t="shared" ref="H153" si="61">C153*G153</f>
        <v>189.29211840000005</v>
      </c>
      <c r="I153" s="290">
        <f t="shared" ref="I153" si="62">SUM(F153,H153)</f>
        <v>1103.9172177600003</v>
      </c>
      <c r="J153" s="537"/>
      <c r="K153" s="470"/>
      <c r="L153" s="594"/>
      <c r="M153" s="622"/>
      <c r="N153" s="594"/>
      <c r="O153" s="594"/>
      <c r="P153" s="594"/>
      <c r="Q153" s="594"/>
      <c r="R153" s="594"/>
      <c r="S153" s="594"/>
      <c r="T153" s="594"/>
    </row>
    <row r="154" spans="1:20" s="200" customFormat="1" x14ac:dyDescent="0.7">
      <c r="A154" s="334" t="s">
        <v>386</v>
      </c>
      <c r="B154" s="277" t="s">
        <v>315</v>
      </c>
      <c r="C154" s="284">
        <f>((12.56*6*1.58)+(4.55*6*1.58)+(5.96*6*1.58))*1.11</f>
        <v>242.76099600000003</v>
      </c>
      <c r="D154" s="297" t="s">
        <v>35</v>
      </c>
      <c r="E154" s="294">
        <v>19.574000000000002</v>
      </c>
      <c r="F154" s="295">
        <f t="shared" ref="F154:F157" si="63">C154*E154</f>
        <v>4751.8037357040012</v>
      </c>
      <c r="G154" s="294">
        <v>3.6</v>
      </c>
      <c r="H154" s="295">
        <f t="shared" ref="H154:H158" si="64">C154*G154</f>
        <v>873.9395856000001</v>
      </c>
      <c r="I154" s="295">
        <f t="shared" ref="I154" si="65">SUM(F154,H154)</f>
        <v>5625.7433213040013</v>
      </c>
      <c r="J154" s="548"/>
      <c r="K154" s="470"/>
      <c r="L154" s="594"/>
      <c r="M154" s="622"/>
      <c r="N154" s="594"/>
      <c r="O154" s="594"/>
      <c r="P154" s="594"/>
      <c r="Q154" s="594"/>
      <c r="R154" s="594"/>
      <c r="S154" s="594"/>
      <c r="T154" s="594"/>
    </row>
    <row r="155" spans="1:20" s="325" customFormat="1" x14ac:dyDescent="0.7">
      <c r="A155" s="334" t="s">
        <v>387</v>
      </c>
      <c r="B155" s="277" t="s">
        <v>263</v>
      </c>
      <c r="C155" s="284">
        <f>ROUNDUP((12.56*0.2*0.4)+(4.55*0.2*0.4)+(5.96*0.2*0.4),0)</f>
        <v>2</v>
      </c>
      <c r="D155" s="297" t="s">
        <v>24</v>
      </c>
      <c r="E155" s="288">
        <v>2216.62</v>
      </c>
      <c r="F155" s="284">
        <f t="shared" si="63"/>
        <v>4433.24</v>
      </c>
      <c r="G155" s="139">
        <v>329</v>
      </c>
      <c r="H155" s="284">
        <f t="shared" si="64"/>
        <v>658</v>
      </c>
      <c r="I155" s="292">
        <f t="shared" ref="I155" si="66">F155+H155</f>
        <v>5091.24</v>
      </c>
      <c r="J155" s="537"/>
      <c r="K155" s="470"/>
      <c r="L155" s="470"/>
      <c r="M155" s="640">
        <f>C141+C146+C147+C153+C154+C160+C167+C168+C174</f>
        <v>1507.1449464000002</v>
      </c>
      <c r="N155" s="640">
        <f>M155/1000</f>
        <v>1.5071449464000002</v>
      </c>
      <c r="O155" s="470"/>
      <c r="P155" s="470"/>
      <c r="Q155" s="470"/>
      <c r="R155" s="470"/>
      <c r="S155" s="470"/>
      <c r="T155" s="470"/>
    </row>
    <row r="156" spans="1:20" s="325" customFormat="1" x14ac:dyDescent="0.7">
      <c r="A156" s="334" t="s">
        <v>388</v>
      </c>
      <c r="B156" s="277" t="s">
        <v>262</v>
      </c>
      <c r="C156" s="284">
        <f>(12.56+4.55+5.96)*0.4*2*0.7</f>
        <v>12.919199999999998</v>
      </c>
      <c r="D156" s="297" t="s">
        <v>25</v>
      </c>
      <c r="E156" s="298">
        <v>400</v>
      </c>
      <c r="F156" s="284">
        <f t="shared" si="63"/>
        <v>5167.6799999999994</v>
      </c>
      <c r="G156" s="139">
        <v>163</v>
      </c>
      <c r="H156" s="284">
        <f t="shared" si="64"/>
        <v>2105.8295999999996</v>
      </c>
      <c r="I156" s="295">
        <f t="shared" ref="I156:I157" si="67">SUM(F156,H156)</f>
        <v>7273.5095999999994</v>
      </c>
      <c r="J156" s="547"/>
      <c r="K156" s="470"/>
      <c r="L156" s="470"/>
      <c r="M156" s="640"/>
      <c r="N156" s="470"/>
      <c r="O156" s="470"/>
      <c r="P156" s="470"/>
      <c r="Q156" s="470"/>
      <c r="R156" s="470"/>
      <c r="S156" s="470"/>
      <c r="T156" s="470"/>
    </row>
    <row r="157" spans="1:20" s="200" customFormat="1" x14ac:dyDescent="0.7">
      <c r="A157" s="334" t="s">
        <v>389</v>
      </c>
      <c r="B157" s="283" t="s">
        <v>261</v>
      </c>
      <c r="C157" s="225">
        <f>((C153+C154)/1000*30)</f>
        <v>8.5734579600000007</v>
      </c>
      <c r="D157" s="289" t="s">
        <v>35</v>
      </c>
      <c r="E157" s="188">
        <v>46.73</v>
      </c>
      <c r="F157" s="186">
        <f t="shared" si="63"/>
        <v>400.63769047080001</v>
      </c>
      <c r="G157" s="188"/>
      <c r="H157" s="186">
        <f t="shared" si="64"/>
        <v>0</v>
      </c>
      <c r="I157" s="186">
        <f t="shared" si="67"/>
        <v>400.63769047080001</v>
      </c>
      <c r="J157" s="542"/>
      <c r="K157" s="470"/>
      <c r="L157" s="594"/>
      <c r="M157" s="622"/>
      <c r="N157" s="594"/>
      <c r="O157" s="594"/>
      <c r="P157" s="594"/>
      <c r="Q157" s="594"/>
      <c r="R157" s="594"/>
      <c r="S157" s="594"/>
      <c r="T157" s="594"/>
    </row>
    <row r="158" spans="1:20" s="336" customFormat="1" x14ac:dyDescent="0.7">
      <c r="A158" s="334" t="s">
        <v>390</v>
      </c>
      <c r="B158" s="283" t="s">
        <v>300</v>
      </c>
      <c r="C158" s="225">
        <f>C156/0.25</f>
        <v>51.676799999999993</v>
      </c>
      <c r="D158" s="289" t="s">
        <v>35</v>
      </c>
      <c r="E158" s="188">
        <v>47</v>
      </c>
      <c r="F158" s="186">
        <f>C158*E158</f>
        <v>2428.8095999999996</v>
      </c>
      <c r="G158" s="188"/>
      <c r="H158" s="186">
        <f t="shared" si="64"/>
        <v>0</v>
      </c>
      <c r="I158" s="186">
        <f>F158+H158</f>
        <v>2428.8095999999996</v>
      </c>
      <c r="J158" s="542"/>
      <c r="K158" s="470"/>
      <c r="L158" s="594"/>
      <c r="M158" s="622"/>
      <c r="N158" s="594"/>
      <c r="O158" s="594"/>
      <c r="P158" s="594"/>
      <c r="Q158" s="594"/>
      <c r="R158" s="594"/>
      <c r="S158" s="594"/>
      <c r="T158" s="594"/>
    </row>
    <row r="159" spans="1:20" s="200" customFormat="1" x14ac:dyDescent="0.7">
      <c r="A159" s="327" t="s">
        <v>391</v>
      </c>
      <c r="B159" s="328" t="s">
        <v>319</v>
      </c>
      <c r="C159" s="225"/>
      <c r="D159" s="289"/>
      <c r="E159" s="288"/>
      <c r="F159" s="225"/>
      <c r="G159" s="288"/>
      <c r="H159" s="225"/>
      <c r="I159" s="290"/>
      <c r="J159" s="542"/>
      <c r="K159" s="470"/>
      <c r="L159" s="594"/>
      <c r="M159" s="622"/>
      <c r="N159" s="594"/>
      <c r="O159" s="594"/>
      <c r="P159" s="594"/>
      <c r="Q159" s="594"/>
      <c r="R159" s="594"/>
      <c r="S159" s="594"/>
      <c r="T159" s="594"/>
    </row>
    <row r="160" spans="1:20" s="200" customFormat="1" x14ac:dyDescent="0.7">
      <c r="A160" s="338" t="s">
        <v>392</v>
      </c>
      <c r="B160" s="283" t="s">
        <v>260</v>
      </c>
      <c r="C160" s="225">
        <f>((58.25*2)+5.6)*4*0.888*1.09</f>
        <v>472.73212799999999</v>
      </c>
      <c r="D160" s="289" t="s">
        <v>35</v>
      </c>
      <c r="E160" s="294">
        <v>22.89</v>
      </c>
      <c r="F160" s="295">
        <f t="shared" ref="F160" si="68">C160*E160</f>
        <v>10820.838409919999</v>
      </c>
      <c r="G160" s="294">
        <v>3.6</v>
      </c>
      <c r="H160" s="295">
        <f t="shared" ref="H160" si="69">C160*G160</f>
        <v>1701.8356607999999</v>
      </c>
      <c r="I160" s="295">
        <f t="shared" ref="I160" si="70">SUM(F160,H160)</f>
        <v>12522.674070719999</v>
      </c>
      <c r="J160" s="549"/>
      <c r="K160" s="470"/>
      <c r="L160" s="594"/>
      <c r="M160" s="622"/>
      <c r="N160" s="594"/>
      <c r="O160" s="594"/>
      <c r="P160" s="594"/>
      <c r="Q160" s="594"/>
      <c r="R160" s="594"/>
      <c r="S160" s="594"/>
      <c r="T160" s="594"/>
    </row>
    <row r="161" spans="1:20" s="200" customFormat="1" x14ac:dyDescent="0.7">
      <c r="A161" s="338" t="s">
        <v>393</v>
      </c>
      <c r="B161" s="283" t="s">
        <v>263</v>
      </c>
      <c r="C161" s="225">
        <f>ROUNDUP((3.14*2.8*2.8*0.15),0)</f>
        <v>4</v>
      </c>
      <c r="D161" s="289" t="s">
        <v>24</v>
      </c>
      <c r="E161" s="288">
        <v>2216.62</v>
      </c>
      <c r="F161" s="225">
        <f t="shared" ref="F161:F164" si="71">C161*E161</f>
        <v>8866.48</v>
      </c>
      <c r="G161" s="139">
        <v>329</v>
      </c>
      <c r="H161" s="225">
        <f t="shared" ref="H161:H165" si="72">C161*G161</f>
        <v>1316</v>
      </c>
      <c r="I161" s="292">
        <f t="shared" ref="I161" si="73">F161+H161</f>
        <v>10182.48</v>
      </c>
      <c r="J161" s="537"/>
      <c r="K161" s="470"/>
      <c r="L161" s="594"/>
      <c r="M161" s="622"/>
      <c r="N161" s="594"/>
      <c r="O161" s="594"/>
      <c r="P161" s="594"/>
      <c r="Q161" s="594"/>
      <c r="R161" s="594"/>
      <c r="S161" s="594"/>
      <c r="T161" s="594"/>
    </row>
    <row r="162" spans="1:20" s="325" customFormat="1" x14ac:dyDescent="0.7">
      <c r="A162" s="338" t="s">
        <v>394</v>
      </c>
      <c r="B162" s="283" t="s">
        <v>262</v>
      </c>
      <c r="C162" s="225">
        <f>17.6*0.15*0.7</f>
        <v>1.8479999999999999</v>
      </c>
      <c r="D162" s="289" t="s">
        <v>25</v>
      </c>
      <c r="E162" s="288">
        <v>400</v>
      </c>
      <c r="F162" s="225">
        <f t="shared" si="71"/>
        <v>739.19999999999993</v>
      </c>
      <c r="G162" s="139">
        <v>163</v>
      </c>
      <c r="H162" s="225">
        <f t="shared" si="72"/>
        <v>301.22399999999999</v>
      </c>
      <c r="I162" s="290">
        <f t="shared" ref="I162:I164" si="74">SUM(F162,H162)</f>
        <v>1040.424</v>
      </c>
      <c r="J162" s="542"/>
      <c r="K162" s="470"/>
      <c r="L162" s="470"/>
      <c r="M162" s="640"/>
      <c r="N162" s="470"/>
      <c r="O162" s="470"/>
      <c r="P162" s="470"/>
      <c r="Q162" s="470"/>
      <c r="R162" s="470"/>
      <c r="S162" s="470"/>
      <c r="T162" s="470"/>
    </row>
    <row r="163" spans="1:20" s="325" customFormat="1" x14ac:dyDescent="0.7">
      <c r="A163" s="338" t="s">
        <v>395</v>
      </c>
      <c r="B163" s="283" t="s">
        <v>430</v>
      </c>
      <c r="C163" s="225">
        <f>2.8*1.25</f>
        <v>3.5</v>
      </c>
      <c r="D163" s="289" t="s">
        <v>24</v>
      </c>
      <c r="E163" s="288">
        <v>514</v>
      </c>
      <c r="F163" s="225">
        <f t="shared" si="71"/>
        <v>1799</v>
      </c>
      <c r="G163" s="288">
        <v>112</v>
      </c>
      <c r="H163" s="225">
        <f t="shared" si="72"/>
        <v>392</v>
      </c>
      <c r="I163" s="290">
        <f t="shared" si="74"/>
        <v>2191</v>
      </c>
      <c r="J163" s="542"/>
      <c r="K163" s="470"/>
      <c r="L163" s="470"/>
      <c r="M163" s="640"/>
      <c r="N163" s="470"/>
      <c r="O163" s="470"/>
      <c r="P163" s="470"/>
      <c r="Q163" s="470"/>
      <c r="R163" s="470"/>
      <c r="S163" s="470"/>
      <c r="T163" s="470"/>
    </row>
    <row r="164" spans="1:20" s="200" customFormat="1" x14ac:dyDescent="0.7">
      <c r="A164" s="338" t="s">
        <v>396</v>
      </c>
      <c r="B164" s="283" t="s">
        <v>261</v>
      </c>
      <c r="C164" s="225">
        <f>C160/1000*30</f>
        <v>14.18196384</v>
      </c>
      <c r="D164" s="289" t="s">
        <v>35</v>
      </c>
      <c r="E164" s="188">
        <v>46.73</v>
      </c>
      <c r="F164" s="186">
        <f t="shared" si="71"/>
        <v>662.7231702432</v>
      </c>
      <c r="G164" s="188"/>
      <c r="H164" s="186">
        <f t="shared" si="72"/>
        <v>0</v>
      </c>
      <c r="I164" s="186">
        <f t="shared" si="74"/>
        <v>662.7231702432</v>
      </c>
      <c r="J164" s="542"/>
      <c r="K164" s="470"/>
      <c r="L164" s="594"/>
      <c r="M164" s="622"/>
      <c r="N164" s="594"/>
      <c r="O164" s="594"/>
      <c r="P164" s="594"/>
      <c r="Q164" s="594"/>
      <c r="R164" s="594"/>
      <c r="S164" s="594"/>
      <c r="T164" s="594"/>
    </row>
    <row r="165" spans="1:20" s="336" customFormat="1" x14ac:dyDescent="0.7">
      <c r="A165" s="338" t="s">
        <v>429</v>
      </c>
      <c r="B165" s="283" t="s">
        <v>300</v>
      </c>
      <c r="C165" s="225">
        <f>C162/0.25</f>
        <v>7.3919999999999995</v>
      </c>
      <c r="D165" s="289" t="s">
        <v>35</v>
      </c>
      <c r="E165" s="188">
        <v>47</v>
      </c>
      <c r="F165" s="186">
        <f>C165*E165</f>
        <v>347.42399999999998</v>
      </c>
      <c r="G165" s="188"/>
      <c r="H165" s="186">
        <f t="shared" si="72"/>
        <v>0</v>
      </c>
      <c r="I165" s="186">
        <f>F165+H165</f>
        <v>347.42399999999998</v>
      </c>
      <c r="J165" s="542"/>
      <c r="K165" s="470"/>
      <c r="L165" s="594"/>
      <c r="M165" s="622"/>
      <c r="N165" s="594"/>
      <c r="O165" s="594"/>
      <c r="P165" s="594"/>
      <c r="Q165" s="594"/>
      <c r="R165" s="594"/>
      <c r="S165" s="594"/>
      <c r="T165" s="594"/>
    </row>
    <row r="166" spans="1:20" s="336" customFormat="1" x14ac:dyDescent="0.7">
      <c r="A166" s="300" t="s">
        <v>397</v>
      </c>
      <c r="B166" s="299" t="s">
        <v>320</v>
      </c>
      <c r="C166" s="284"/>
      <c r="D166" s="297"/>
      <c r="E166" s="298"/>
      <c r="F166" s="284"/>
      <c r="G166" s="298"/>
      <c r="H166" s="284"/>
      <c r="I166" s="295"/>
      <c r="J166" s="547"/>
      <c r="K166" s="470"/>
      <c r="L166" s="594"/>
      <c r="M166" s="622"/>
      <c r="N166" s="594"/>
      <c r="O166" s="594"/>
      <c r="P166" s="594"/>
      <c r="Q166" s="594"/>
      <c r="R166" s="594"/>
      <c r="S166" s="594"/>
      <c r="T166" s="594"/>
    </row>
    <row r="167" spans="1:20" s="200" customFormat="1" x14ac:dyDescent="0.7">
      <c r="A167" s="334" t="s">
        <v>398</v>
      </c>
      <c r="B167" s="277" t="s">
        <v>313</v>
      </c>
      <c r="C167" s="284">
        <f>1.2*(12.56/0.15)*0.222*1.05</f>
        <v>23.421888000000003</v>
      </c>
      <c r="D167" s="297" t="s">
        <v>35</v>
      </c>
      <c r="E167" s="345">
        <v>21.26</v>
      </c>
      <c r="F167" s="290">
        <f t="shared" ref="F167:F168" si="75">C167*E167</f>
        <v>497.94933888000008</v>
      </c>
      <c r="G167" s="345">
        <v>4.4000000000000004</v>
      </c>
      <c r="H167" s="290">
        <f t="shared" ref="H167:H168" si="76">C167*G167</f>
        <v>103.05630720000002</v>
      </c>
      <c r="I167" s="290">
        <f t="shared" ref="I167:I168" si="77">SUM(F167,H167)</f>
        <v>601.00564608000013</v>
      </c>
      <c r="J167" s="549"/>
      <c r="K167" s="470"/>
      <c r="L167" s="594"/>
      <c r="M167" s="622"/>
      <c r="N167" s="594"/>
      <c r="O167" s="594"/>
      <c r="P167" s="594"/>
      <c r="Q167" s="594"/>
      <c r="R167" s="594"/>
      <c r="S167" s="594"/>
      <c r="T167" s="594"/>
    </row>
    <row r="168" spans="1:20" s="200" customFormat="1" x14ac:dyDescent="0.7">
      <c r="A168" s="334" t="s">
        <v>399</v>
      </c>
      <c r="B168" s="277" t="s">
        <v>315</v>
      </c>
      <c r="C168" s="284">
        <f>(12.56*6*1.58)*1.11</f>
        <v>132.16636800000003</v>
      </c>
      <c r="D168" s="297" t="s">
        <v>35</v>
      </c>
      <c r="E168" s="294">
        <v>19.574000000000002</v>
      </c>
      <c r="F168" s="295">
        <f t="shared" si="75"/>
        <v>2587.0244872320009</v>
      </c>
      <c r="G168" s="294">
        <v>3.6</v>
      </c>
      <c r="H168" s="295">
        <f t="shared" si="76"/>
        <v>475.79892480000012</v>
      </c>
      <c r="I168" s="295">
        <f t="shared" si="77"/>
        <v>3062.8234120320012</v>
      </c>
      <c r="J168" s="549"/>
      <c r="K168" s="470"/>
      <c r="L168" s="594"/>
      <c r="M168" s="622"/>
      <c r="N168" s="594"/>
      <c r="O168" s="594"/>
      <c r="P168" s="594"/>
      <c r="Q168" s="594"/>
      <c r="R168" s="594"/>
      <c r="S168" s="594"/>
      <c r="T168" s="594"/>
    </row>
    <row r="169" spans="1:20" s="325" customFormat="1" x14ac:dyDescent="0.7">
      <c r="A169" s="334" t="s">
        <v>400</v>
      </c>
      <c r="B169" s="277" t="s">
        <v>263</v>
      </c>
      <c r="C169" s="284">
        <f>12.56*0.4*0.2</f>
        <v>1.0048000000000001</v>
      </c>
      <c r="D169" s="297" t="s">
        <v>24</v>
      </c>
      <c r="E169" s="288">
        <v>2216.62</v>
      </c>
      <c r="F169" s="284">
        <f t="shared" ref="F169:F171" si="78">C169*E169</f>
        <v>2227.2597760000003</v>
      </c>
      <c r="G169" s="139">
        <v>329</v>
      </c>
      <c r="H169" s="284">
        <f t="shared" ref="H169:H172" si="79">C169*G169</f>
        <v>330.57920000000007</v>
      </c>
      <c r="I169" s="292">
        <f t="shared" ref="I169" si="80">F169+H169</f>
        <v>2557.8389760000005</v>
      </c>
      <c r="J169" s="537"/>
      <c r="K169" s="470"/>
      <c r="L169" s="470"/>
      <c r="M169" s="640"/>
      <c r="N169" s="470"/>
      <c r="O169" s="470"/>
      <c r="P169" s="470"/>
      <c r="Q169" s="470"/>
      <c r="R169" s="470"/>
      <c r="S169" s="470"/>
      <c r="T169" s="470"/>
    </row>
    <row r="170" spans="1:20" s="325" customFormat="1" x14ac:dyDescent="0.7">
      <c r="A170" s="334" t="s">
        <v>401</v>
      </c>
      <c r="B170" s="277" t="s">
        <v>262</v>
      </c>
      <c r="C170" s="284">
        <f>12.56*(0.4+0.2+0.4)*0.7</f>
        <v>8.7919999999999998</v>
      </c>
      <c r="D170" s="297" t="s">
        <v>25</v>
      </c>
      <c r="E170" s="298">
        <v>400</v>
      </c>
      <c r="F170" s="284">
        <f t="shared" si="78"/>
        <v>3516.7999999999997</v>
      </c>
      <c r="G170" s="139">
        <v>163</v>
      </c>
      <c r="H170" s="284">
        <f t="shared" si="79"/>
        <v>1433.096</v>
      </c>
      <c r="I170" s="295">
        <f t="shared" ref="I170:I171" si="81">SUM(F170,H170)</f>
        <v>4949.8959999999997</v>
      </c>
      <c r="J170" s="547"/>
      <c r="K170" s="470"/>
      <c r="L170" s="470"/>
      <c r="M170" s="640"/>
      <c r="N170" s="470"/>
      <c r="O170" s="470"/>
      <c r="P170" s="470"/>
      <c r="Q170" s="470"/>
      <c r="R170" s="470"/>
      <c r="S170" s="470"/>
      <c r="T170" s="470"/>
    </row>
    <row r="171" spans="1:20" s="325" customFormat="1" x14ac:dyDescent="0.7">
      <c r="A171" s="334" t="s">
        <v>402</v>
      </c>
      <c r="B171" s="283" t="s">
        <v>261</v>
      </c>
      <c r="C171" s="225">
        <f>(C167+C168)/1000*30</f>
        <v>4.6676476800000009</v>
      </c>
      <c r="D171" s="289" t="s">
        <v>35</v>
      </c>
      <c r="E171" s="188">
        <v>46.73</v>
      </c>
      <c r="F171" s="186">
        <f t="shared" si="78"/>
        <v>218.11917608640002</v>
      </c>
      <c r="G171" s="188"/>
      <c r="H171" s="186">
        <f t="shared" si="79"/>
        <v>0</v>
      </c>
      <c r="I171" s="186">
        <f t="shared" si="81"/>
        <v>218.11917608640002</v>
      </c>
      <c r="J171" s="542"/>
      <c r="K171" s="470"/>
      <c r="L171" s="470"/>
      <c r="M171" s="640"/>
      <c r="N171" s="470"/>
      <c r="O171" s="470"/>
      <c r="P171" s="470"/>
      <c r="Q171" s="470"/>
      <c r="R171" s="470"/>
      <c r="S171" s="470"/>
      <c r="T171" s="470"/>
    </row>
    <row r="172" spans="1:20" s="340" customFormat="1" x14ac:dyDescent="0.7">
      <c r="A172" s="334" t="s">
        <v>403</v>
      </c>
      <c r="B172" s="283" t="s">
        <v>300</v>
      </c>
      <c r="C172" s="225">
        <f>C170/0.25</f>
        <v>35.167999999999999</v>
      </c>
      <c r="D172" s="289" t="s">
        <v>35</v>
      </c>
      <c r="E172" s="188">
        <v>47</v>
      </c>
      <c r="F172" s="186">
        <f>C172*E172</f>
        <v>1652.896</v>
      </c>
      <c r="G172" s="188"/>
      <c r="H172" s="186">
        <f t="shared" si="79"/>
        <v>0</v>
      </c>
      <c r="I172" s="186">
        <f>F172+H172</f>
        <v>1652.896</v>
      </c>
      <c r="J172" s="542"/>
      <c r="K172" s="470"/>
      <c r="L172" s="470"/>
      <c r="M172" s="640"/>
      <c r="N172" s="470"/>
      <c r="O172" s="470"/>
      <c r="P172" s="470"/>
      <c r="Q172" s="470"/>
      <c r="R172" s="470"/>
      <c r="S172" s="470"/>
      <c r="T172" s="470"/>
    </row>
    <row r="173" spans="1:20" s="325" customFormat="1" x14ac:dyDescent="0.7">
      <c r="A173" s="300" t="s">
        <v>404</v>
      </c>
      <c r="B173" s="299" t="s">
        <v>321</v>
      </c>
      <c r="C173" s="284"/>
      <c r="D173" s="297"/>
      <c r="E173" s="298"/>
      <c r="F173" s="284"/>
      <c r="G173" s="298"/>
      <c r="H173" s="284"/>
      <c r="I173" s="295"/>
      <c r="J173" s="547"/>
      <c r="K173" s="470"/>
      <c r="L173" s="470"/>
      <c r="M173" s="640"/>
      <c r="N173" s="470"/>
      <c r="O173" s="470"/>
      <c r="P173" s="470"/>
      <c r="Q173" s="470"/>
      <c r="R173" s="470"/>
      <c r="S173" s="470"/>
      <c r="T173" s="470"/>
    </row>
    <row r="174" spans="1:20" s="325" customFormat="1" x14ac:dyDescent="0.7">
      <c r="A174" s="338" t="s">
        <v>405</v>
      </c>
      <c r="B174" s="283" t="s">
        <v>260</v>
      </c>
      <c r="C174" s="225">
        <f>((52.64*2)+5.3)*4*0.888*1.09</f>
        <v>428.13037440000005</v>
      </c>
      <c r="D174" s="289" t="s">
        <v>35</v>
      </c>
      <c r="E174" s="294">
        <v>22.89</v>
      </c>
      <c r="F174" s="295">
        <f t="shared" ref="F174" si="82">C174*E174</f>
        <v>9799.9042700160007</v>
      </c>
      <c r="G174" s="294">
        <v>3.6</v>
      </c>
      <c r="H174" s="295">
        <f t="shared" ref="H174" si="83">C174*G174</f>
        <v>1541.2693478400001</v>
      </c>
      <c r="I174" s="295">
        <f t="shared" ref="I174" si="84">SUM(F174,H174)</f>
        <v>11341.173617856</v>
      </c>
      <c r="J174" s="549"/>
      <c r="K174" s="470"/>
      <c r="L174" s="470"/>
      <c r="M174" s="640"/>
      <c r="N174" s="470"/>
      <c r="O174" s="470"/>
      <c r="P174" s="470"/>
      <c r="Q174" s="470"/>
      <c r="R174" s="470"/>
      <c r="S174" s="470"/>
      <c r="T174" s="470"/>
    </row>
    <row r="175" spans="1:20" s="325" customFormat="1" x14ac:dyDescent="0.7">
      <c r="A175" s="338" t="s">
        <v>406</v>
      </c>
      <c r="B175" s="277" t="s">
        <v>263</v>
      </c>
      <c r="C175" s="284">
        <f>3.14*5.3/2*5.3/2*0.15</f>
        <v>3.3075974999999995</v>
      </c>
      <c r="D175" s="297" t="s">
        <v>24</v>
      </c>
      <c r="E175" s="288">
        <v>2216.62</v>
      </c>
      <c r="F175" s="284">
        <f t="shared" ref="F175:F180" si="85">C175*E175</f>
        <v>7331.6867704499982</v>
      </c>
      <c r="G175" s="139">
        <v>329</v>
      </c>
      <c r="H175" s="284">
        <f t="shared" ref="H175:H181" si="86">C175*G175</f>
        <v>1088.1995774999998</v>
      </c>
      <c r="I175" s="292">
        <f t="shared" ref="I175" si="87">F175+H175</f>
        <v>8419.8863479499978</v>
      </c>
      <c r="J175" s="537"/>
      <c r="K175" s="470"/>
      <c r="L175" s="470"/>
      <c r="M175" s="640"/>
      <c r="N175" s="470"/>
      <c r="O175" s="470"/>
      <c r="P175" s="470"/>
      <c r="Q175" s="470"/>
      <c r="R175" s="470"/>
      <c r="S175" s="470"/>
      <c r="T175" s="470"/>
    </row>
    <row r="176" spans="1:20" s="325" customFormat="1" x14ac:dyDescent="0.7">
      <c r="A176" s="338" t="s">
        <v>407</v>
      </c>
      <c r="B176" s="277" t="s">
        <v>262</v>
      </c>
      <c r="C176" s="225">
        <f>(22.06+(16.65*0.15))*0.7</f>
        <v>17.190249999999995</v>
      </c>
      <c r="D176" s="297" t="s">
        <v>25</v>
      </c>
      <c r="E176" s="298">
        <v>400</v>
      </c>
      <c r="F176" s="284">
        <f t="shared" si="85"/>
        <v>6876.0999999999985</v>
      </c>
      <c r="G176" s="139">
        <v>163</v>
      </c>
      <c r="H176" s="284">
        <f t="shared" si="86"/>
        <v>2802.0107499999995</v>
      </c>
      <c r="I176" s="295">
        <f t="shared" ref="I176:I180" si="88">SUM(F176,H176)</f>
        <v>9678.110749999998</v>
      </c>
      <c r="J176" s="547"/>
      <c r="K176" s="470"/>
      <c r="L176" s="470"/>
      <c r="M176" s="640"/>
      <c r="N176" s="470"/>
      <c r="O176" s="470"/>
      <c r="P176" s="470"/>
      <c r="Q176" s="470"/>
      <c r="R176" s="470"/>
      <c r="S176" s="470"/>
      <c r="T176" s="470"/>
    </row>
    <row r="177" spans="1:20" s="325" customFormat="1" x14ac:dyDescent="0.7">
      <c r="A177" s="338" t="s">
        <v>408</v>
      </c>
      <c r="B177" s="283" t="s">
        <v>484</v>
      </c>
      <c r="C177" s="225">
        <v>6.28</v>
      </c>
      <c r="D177" s="289" t="s">
        <v>25</v>
      </c>
      <c r="E177" s="565">
        <v>333</v>
      </c>
      <c r="F177" s="566">
        <f t="shared" si="85"/>
        <v>2091.2400000000002</v>
      </c>
      <c r="G177" s="565">
        <v>104</v>
      </c>
      <c r="H177" s="566">
        <f t="shared" si="86"/>
        <v>653.12</v>
      </c>
      <c r="I177" s="566">
        <f t="shared" si="88"/>
        <v>2744.36</v>
      </c>
      <c r="J177" s="542"/>
      <c r="K177" s="470"/>
      <c r="L177" s="470"/>
      <c r="M177" s="640"/>
      <c r="N177" s="470"/>
      <c r="O177" s="470"/>
      <c r="P177" s="470"/>
      <c r="Q177" s="470"/>
      <c r="R177" s="470"/>
      <c r="S177" s="470"/>
      <c r="T177" s="470"/>
    </row>
    <row r="178" spans="1:20" s="200" customFormat="1" x14ac:dyDescent="0.7">
      <c r="A178" s="338" t="s">
        <v>409</v>
      </c>
      <c r="B178" s="283" t="s">
        <v>359</v>
      </c>
      <c r="C178" s="225">
        <v>2</v>
      </c>
      <c r="D178" s="289" t="s">
        <v>314</v>
      </c>
      <c r="E178" s="565">
        <v>534</v>
      </c>
      <c r="F178" s="566">
        <f t="shared" si="85"/>
        <v>1068</v>
      </c>
      <c r="G178" s="565">
        <v>123</v>
      </c>
      <c r="H178" s="566">
        <f t="shared" si="86"/>
        <v>246</v>
      </c>
      <c r="I178" s="566">
        <f t="shared" si="88"/>
        <v>1314</v>
      </c>
      <c r="J178" s="542"/>
      <c r="K178" s="470"/>
      <c r="L178" s="594"/>
      <c r="M178" s="622"/>
      <c r="N178" s="594"/>
      <c r="O178" s="594"/>
      <c r="P178" s="594"/>
      <c r="Q178" s="594"/>
      <c r="R178" s="594"/>
      <c r="S178" s="594"/>
      <c r="T178" s="594"/>
    </row>
    <row r="179" spans="1:20" s="200" customFormat="1" x14ac:dyDescent="0.7">
      <c r="A179" s="338" t="s">
        <v>410</v>
      </c>
      <c r="B179" s="283" t="s">
        <v>358</v>
      </c>
      <c r="C179" s="225">
        <v>3</v>
      </c>
      <c r="D179" s="289" t="s">
        <v>55</v>
      </c>
      <c r="E179" s="565">
        <f>534*0.5</f>
        <v>267</v>
      </c>
      <c r="F179" s="566">
        <f t="shared" si="85"/>
        <v>801</v>
      </c>
      <c r="G179" s="565">
        <f>267*0.3</f>
        <v>80.099999999999994</v>
      </c>
      <c r="H179" s="566">
        <f t="shared" si="86"/>
        <v>240.29999999999998</v>
      </c>
      <c r="I179" s="566">
        <f t="shared" si="88"/>
        <v>1041.3</v>
      </c>
      <c r="J179" s="542"/>
      <c r="K179" s="470"/>
      <c r="L179" s="594"/>
      <c r="M179" s="622"/>
      <c r="N179" s="594"/>
      <c r="O179" s="594"/>
      <c r="P179" s="594"/>
      <c r="Q179" s="594"/>
      <c r="R179" s="594"/>
      <c r="S179" s="594"/>
      <c r="T179" s="594"/>
    </row>
    <row r="180" spans="1:20" s="200" customFormat="1" x14ac:dyDescent="0.7">
      <c r="A180" s="338" t="s">
        <v>411</v>
      </c>
      <c r="B180" s="283" t="s">
        <v>261</v>
      </c>
      <c r="C180" s="225">
        <f>C174/1000*30</f>
        <v>12.843911232000002</v>
      </c>
      <c r="D180" s="289" t="s">
        <v>35</v>
      </c>
      <c r="E180" s="188">
        <v>46.73</v>
      </c>
      <c r="F180" s="186">
        <f t="shared" si="85"/>
        <v>600.19597187136003</v>
      </c>
      <c r="G180" s="188"/>
      <c r="H180" s="186">
        <f t="shared" si="86"/>
        <v>0</v>
      </c>
      <c r="I180" s="186">
        <f t="shared" si="88"/>
        <v>600.19597187136003</v>
      </c>
      <c r="J180" s="542"/>
      <c r="K180" s="470"/>
      <c r="L180" s="594"/>
      <c r="M180" s="622"/>
      <c r="N180" s="594"/>
      <c r="O180" s="594"/>
      <c r="P180" s="594"/>
      <c r="Q180" s="594"/>
      <c r="R180" s="594"/>
      <c r="S180" s="594"/>
      <c r="T180" s="594"/>
    </row>
    <row r="181" spans="1:20" s="200" customFormat="1" x14ac:dyDescent="0.7">
      <c r="A181" s="338" t="s">
        <v>412</v>
      </c>
      <c r="B181" s="283" t="s">
        <v>300</v>
      </c>
      <c r="C181" s="225">
        <f>C176/0.25</f>
        <v>68.760999999999981</v>
      </c>
      <c r="D181" s="289" t="s">
        <v>35</v>
      </c>
      <c r="E181" s="188">
        <v>47</v>
      </c>
      <c r="F181" s="186">
        <f>C181*E181</f>
        <v>3231.7669999999989</v>
      </c>
      <c r="G181" s="188"/>
      <c r="H181" s="186">
        <f t="shared" si="86"/>
        <v>0</v>
      </c>
      <c r="I181" s="186">
        <f>F181+H181</f>
        <v>3231.7669999999989</v>
      </c>
      <c r="J181" s="542"/>
      <c r="K181" s="470"/>
      <c r="L181" s="594"/>
      <c r="M181" s="622"/>
      <c r="N181" s="594"/>
      <c r="O181" s="594"/>
      <c r="P181" s="594"/>
      <c r="Q181" s="594"/>
      <c r="R181" s="594"/>
      <c r="S181" s="594"/>
      <c r="T181" s="594"/>
    </row>
    <row r="182" spans="1:20" s="200" customFormat="1" x14ac:dyDescent="0.7">
      <c r="A182" s="300" t="s">
        <v>413</v>
      </c>
      <c r="B182" s="299" t="s">
        <v>322</v>
      </c>
      <c r="C182" s="284"/>
      <c r="D182" s="297"/>
      <c r="E182" s="298"/>
      <c r="F182" s="284"/>
      <c r="G182" s="298"/>
      <c r="H182" s="284"/>
      <c r="I182" s="295"/>
      <c r="J182" s="547"/>
      <c r="K182" s="470"/>
      <c r="L182" s="594"/>
      <c r="M182" s="622"/>
      <c r="N182" s="594"/>
      <c r="O182" s="594"/>
      <c r="P182" s="594"/>
      <c r="Q182" s="594"/>
      <c r="R182" s="594"/>
      <c r="S182" s="594"/>
      <c r="T182" s="594"/>
    </row>
    <row r="183" spans="1:20" s="325" customFormat="1" x14ac:dyDescent="0.7">
      <c r="A183" s="301" t="s">
        <v>414</v>
      </c>
      <c r="B183" s="302" t="s">
        <v>484</v>
      </c>
      <c r="C183" s="329">
        <v>44</v>
      </c>
      <c r="D183" s="303" t="s">
        <v>25</v>
      </c>
      <c r="E183" s="565">
        <v>333</v>
      </c>
      <c r="F183" s="566">
        <f t="shared" ref="F183" si="89">C183*E183</f>
        <v>14652</v>
      </c>
      <c r="G183" s="565">
        <v>104</v>
      </c>
      <c r="H183" s="566">
        <f t="shared" ref="H183" si="90">C183*G183</f>
        <v>4576</v>
      </c>
      <c r="I183" s="566">
        <f t="shared" ref="I183" si="91">SUM(F183,H183)</f>
        <v>19228</v>
      </c>
      <c r="J183" s="542"/>
      <c r="K183" s="470"/>
      <c r="L183" s="470"/>
      <c r="M183" s="640"/>
      <c r="N183" s="470"/>
      <c r="O183" s="470"/>
      <c r="P183" s="470"/>
      <c r="Q183" s="470"/>
      <c r="R183" s="470"/>
      <c r="S183" s="470"/>
      <c r="T183" s="470"/>
    </row>
    <row r="184" spans="1:20" s="325" customFormat="1" x14ac:dyDescent="0.7">
      <c r="A184" s="301" t="s">
        <v>415</v>
      </c>
      <c r="B184" s="314" t="s">
        <v>327</v>
      </c>
      <c r="C184" s="329">
        <v>44</v>
      </c>
      <c r="D184" s="303" t="s">
        <v>25</v>
      </c>
      <c r="E184" s="304">
        <v>43</v>
      </c>
      <c r="F184" s="315">
        <f t="shared" ref="F184:F197" si="92">C184*E184</f>
        <v>1892</v>
      </c>
      <c r="G184" s="304">
        <v>34</v>
      </c>
      <c r="H184" s="305">
        <f t="shared" ref="H184:H197" si="93">C184*G184</f>
        <v>1496</v>
      </c>
      <c r="I184" s="305">
        <f t="shared" ref="I184:I197" si="94">SUM(F184,H184)</f>
        <v>3388</v>
      </c>
      <c r="J184" s="550"/>
      <c r="K184" s="470"/>
      <c r="L184" s="470"/>
      <c r="M184" s="640"/>
      <c r="N184" s="470"/>
      <c r="O184" s="470"/>
      <c r="P184" s="470"/>
      <c r="Q184" s="470"/>
      <c r="R184" s="470"/>
      <c r="S184" s="470"/>
      <c r="T184" s="470"/>
    </row>
    <row r="185" spans="1:20" s="200" customFormat="1" x14ac:dyDescent="0.7">
      <c r="A185" s="319"/>
      <c r="B185" s="311" t="s">
        <v>325</v>
      </c>
      <c r="C185" s="320"/>
      <c r="D185" s="312"/>
      <c r="E185" s="322"/>
      <c r="F185" s="313"/>
      <c r="G185" s="322"/>
      <c r="H185" s="323"/>
      <c r="I185" s="323"/>
      <c r="J185" s="551"/>
      <c r="K185" s="470"/>
      <c r="L185" s="594"/>
      <c r="M185" s="622"/>
      <c r="N185" s="594"/>
      <c r="O185" s="594"/>
      <c r="P185" s="594"/>
      <c r="Q185" s="594"/>
      <c r="R185" s="594"/>
      <c r="S185" s="594"/>
      <c r="T185" s="594"/>
    </row>
    <row r="186" spans="1:20" s="325" customFormat="1" x14ac:dyDescent="0.7">
      <c r="A186" s="307"/>
      <c r="B186" s="316" t="s">
        <v>326</v>
      </c>
      <c r="C186" s="321"/>
      <c r="D186" s="317"/>
      <c r="E186" s="308"/>
      <c r="F186" s="318"/>
      <c r="G186" s="308"/>
      <c r="H186" s="309"/>
      <c r="I186" s="309"/>
      <c r="J186" s="552"/>
      <c r="K186" s="470"/>
      <c r="L186" s="470"/>
      <c r="M186" s="640"/>
      <c r="N186" s="470"/>
      <c r="O186" s="470"/>
      <c r="P186" s="470"/>
      <c r="Q186" s="470"/>
      <c r="R186" s="470"/>
      <c r="S186" s="470"/>
      <c r="T186" s="470"/>
    </row>
    <row r="187" spans="1:20" s="200" customFormat="1" x14ac:dyDescent="0.7">
      <c r="A187" s="265" t="s">
        <v>416</v>
      </c>
      <c r="B187" s="152" t="s">
        <v>264</v>
      </c>
      <c r="C187" s="149">
        <v>1</v>
      </c>
      <c r="D187" s="138" t="s">
        <v>55</v>
      </c>
      <c r="E187" s="294">
        <v>940</v>
      </c>
      <c r="F187" s="295">
        <f>C187*E187</f>
        <v>940</v>
      </c>
      <c r="G187" s="294">
        <v>400</v>
      </c>
      <c r="H187" s="205">
        <f t="shared" si="93"/>
        <v>400</v>
      </c>
      <c r="I187" s="205">
        <f t="shared" si="94"/>
        <v>1340</v>
      </c>
      <c r="J187" s="547"/>
      <c r="K187" s="470"/>
      <c r="L187" s="594"/>
      <c r="M187" s="622"/>
      <c r="N187" s="594"/>
      <c r="O187" s="594"/>
      <c r="P187" s="594"/>
      <c r="Q187" s="594"/>
      <c r="R187" s="594"/>
      <c r="S187" s="594"/>
      <c r="T187" s="594"/>
    </row>
    <row r="188" spans="1:20" s="200" customFormat="1" x14ac:dyDescent="0.7">
      <c r="A188" s="265" t="s">
        <v>417</v>
      </c>
      <c r="B188" s="152" t="s">
        <v>332</v>
      </c>
      <c r="C188" s="284">
        <v>25.44</v>
      </c>
      <c r="D188" s="138" t="s">
        <v>25</v>
      </c>
      <c r="E188" s="294">
        <v>490</v>
      </c>
      <c r="F188" s="205">
        <f t="shared" si="92"/>
        <v>12465.6</v>
      </c>
      <c r="G188" s="294">
        <v>80</v>
      </c>
      <c r="H188" s="205">
        <f t="shared" si="93"/>
        <v>2035.2</v>
      </c>
      <c r="I188" s="205">
        <f t="shared" si="94"/>
        <v>14500.800000000001</v>
      </c>
      <c r="J188" s="547"/>
      <c r="K188" s="470"/>
      <c r="L188" s="594"/>
      <c r="M188" s="622"/>
      <c r="N188" s="594"/>
      <c r="O188" s="594"/>
      <c r="P188" s="594"/>
      <c r="Q188" s="594"/>
      <c r="R188" s="594"/>
      <c r="S188" s="594"/>
      <c r="T188" s="594"/>
    </row>
    <row r="189" spans="1:20" s="200" customFormat="1" x14ac:dyDescent="0.7">
      <c r="A189" s="265" t="s">
        <v>418</v>
      </c>
      <c r="B189" s="152" t="s">
        <v>324</v>
      </c>
      <c r="C189" s="149">
        <v>1</v>
      </c>
      <c r="D189" s="138" t="s">
        <v>23</v>
      </c>
      <c r="E189" s="294">
        <v>3850</v>
      </c>
      <c r="F189" s="205">
        <f t="shared" si="92"/>
        <v>3850</v>
      </c>
      <c r="G189" s="197">
        <v>198</v>
      </c>
      <c r="H189" s="205">
        <f t="shared" si="93"/>
        <v>198</v>
      </c>
      <c r="I189" s="205">
        <f t="shared" si="94"/>
        <v>4048</v>
      </c>
      <c r="J189" s="547"/>
      <c r="K189" s="470"/>
      <c r="L189" s="594"/>
      <c r="M189" s="622"/>
      <c r="N189" s="594"/>
      <c r="O189" s="594"/>
      <c r="P189" s="594"/>
      <c r="Q189" s="594"/>
      <c r="R189" s="594"/>
      <c r="S189" s="594"/>
      <c r="T189" s="594"/>
    </row>
    <row r="190" spans="1:20" s="200" customFormat="1" x14ac:dyDescent="0.7">
      <c r="A190" s="330" t="s">
        <v>419</v>
      </c>
      <c r="B190" s="273" t="s">
        <v>328</v>
      </c>
      <c r="C190" s="149"/>
      <c r="D190" s="138"/>
      <c r="E190" s="294"/>
      <c r="F190" s="205"/>
      <c r="G190" s="197"/>
      <c r="H190" s="205"/>
      <c r="I190" s="205"/>
      <c r="J190" s="547"/>
      <c r="K190" s="470"/>
      <c r="L190" s="594"/>
      <c r="M190" s="622"/>
      <c r="N190" s="594"/>
      <c r="O190" s="594"/>
      <c r="P190" s="594"/>
      <c r="Q190" s="594"/>
      <c r="R190" s="594"/>
      <c r="S190" s="594"/>
      <c r="T190" s="594"/>
    </row>
    <row r="191" spans="1:20" s="200" customFormat="1" x14ac:dyDescent="0.7">
      <c r="A191" s="331" t="s">
        <v>420</v>
      </c>
      <c r="B191" s="152" t="s">
        <v>329</v>
      </c>
      <c r="C191" s="149">
        <v>2</v>
      </c>
      <c r="D191" s="138" t="s">
        <v>333</v>
      </c>
      <c r="E191" s="294">
        <v>250</v>
      </c>
      <c r="F191" s="205">
        <f t="shared" si="92"/>
        <v>500</v>
      </c>
      <c r="G191" s="197">
        <v>170</v>
      </c>
      <c r="H191" s="205">
        <f t="shared" si="93"/>
        <v>340</v>
      </c>
      <c r="I191" s="205">
        <f t="shared" si="94"/>
        <v>840</v>
      </c>
      <c r="J191" s="547"/>
      <c r="K191" s="470"/>
      <c r="L191" s="594"/>
      <c r="M191" s="622"/>
      <c r="N191" s="594"/>
      <c r="O191" s="594"/>
      <c r="P191" s="594"/>
      <c r="Q191" s="594"/>
      <c r="R191" s="594"/>
      <c r="S191" s="594"/>
      <c r="T191" s="594"/>
    </row>
    <row r="192" spans="1:20" s="325" customFormat="1" x14ac:dyDescent="0.7">
      <c r="A192" s="331" t="s">
        <v>421</v>
      </c>
      <c r="B192" s="152" t="s">
        <v>330</v>
      </c>
      <c r="C192" s="149">
        <v>1</v>
      </c>
      <c r="D192" s="138" t="s">
        <v>23</v>
      </c>
      <c r="E192" s="294">
        <v>107</v>
      </c>
      <c r="F192" s="205">
        <f t="shared" si="92"/>
        <v>107</v>
      </c>
      <c r="G192" s="197">
        <v>90</v>
      </c>
      <c r="H192" s="205">
        <f t="shared" si="93"/>
        <v>90</v>
      </c>
      <c r="I192" s="205">
        <f t="shared" si="94"/>
        <v>197</v>
      </c>
      <c r="J192" s="547"/>
      <c r="K192" s="470"/>
      <c r="L192" s="470"/>
      <c r="M192" s="640"/>
      <c r="N192" s="470"/>
      <c r="O192" s="470"/>
      <c r="P192" s="470"/>
      <c r="Q192" s="470"/>
      <c r="R192" s="470"/>
      <c r="S192" s="470"/>
      <c r="T192" s="470"/>
    </row>
    <row r="193" spans="1:20" s="325" customFormat="1" x14ac:dyDescent="0.7">
      <c r="A193" s="331" t="s">
        <v>422</v>
      </c>
      <c r="B193" s="152" t="s">
        <v>331</v>
      </c>
      <c r="C193" s="149">
        <v>2</v>
      </c>
      <c r="D193" s="138" t="s">
        <v>23</v>
      </c>
      <c r="E193" s="294">
        <v>95</v>
      </c>
      <c r="F193" s="205">
        <f t="shared" si="92"/>
        <v>190</v>
      </c>
      <c r="G193" s="197">
        <v>80</v>
      </c>
      <c r="H193" s="205">
        <f t="shared" si="93"/>
        <v>160</v>
      </c>
      <c r="I193" s="205">
        <f t="shared" si="94"/>
        <v>350</v>
      </c>
      <c r="J193" s="547"/>
      <c r="K193" s="470"/>
      <c r="L193" s="470"/>
      <c r="M193" s="640"/>
      <c r="N193" s="470"/>
      <c r="O193" s="470"/>
      <c r="P193" s="470"/>
      <c r="Q193" s="470"/>
      <c r="R193" s="470"/>
      <c r="S193" s="470"/>
      <c r="T193" s="470"/>
    </row>
    <row r="194" spans="1:20" s="200" customFormat="1" x14ac:dyDescent="0.7">
      <c r="A194" s="331" t="s">
        <v>423</v>
      </c>
      <c r="B194" s="182" t="s">
        <v>371</v>
      </c>
      <c r="C194" s="186">
        <v>5</v>
      </c>
      <c r="D194" s="187" t="s">
        <v>41</v>
      </c>
      <c r="E194" s="345">
        <v>100</v>
      </c>
      <c r="F194" s="204">
        <f t="shared" si="92"/>
        <v>500</v>
      </c>
      <c r="G194" s="203"/>
      <c r="H194" s="204">
        <f t="shared" si="93"/>
        <v>0</v>
      </c>
      <c r="I194" s="204">
        <f t="shared" si="94"/>
        <v>500</v>
      </c>
      <c r="J194" s="542"/>
      <c r="K194" s="470"/>
      <c r="L194" s="594"/>
      <c r="M194" s="622"/>
      <c r="N194" s="594"/>
      <c r="O194" s="594"/>
      <c r="P194" s="594"/>
      <c r="Q194" s="594"/>
      <c r="R194" s="594"/>
      <c r="S194" s="594"/>
      <c r="T194" s="594"/>
    </row>
    <row r="195" spans="1:20" s="200" customFormat="1" x14ac:dyDescent="0.7">
      <c r="A195" s="331" t="s">
        <v>424</v>
      </c>
      <c r="B195" s="152" t="s">
        <v>370</v>
      </c>
      <c r="C195" s="149">
        <v>1</v>
      </c>
      <c r="D195" s="138" t="s">
        <v>43</v>
      </c>
      <c r="E195" s="294"/>
      <c r="F195" s="205">
        <f t="shared" si="92"/>
        <v>0</v>
      </c>
      <c r="G195" s="197">
        <f>0.3*I194</f>
        <v>150</v>
      </c>
      <c r="H195" s="205">
        <f>C195*G195</f>
        <v>150</v>
      </c>
      <c r="I195" s="205">
        <f t="shared" si="94"/>
        <v>150</v>
      </c>
      <c r="J195" s="547"/>
      <c r="K195" s="470"/>
      <c r="L195" s="594"/>
      <c r="M195" s="594"/>
      <c r="N195" s="594"/>
      <c r="O195" s="594"/>
      <c r="P195" s="594"/>
      <c r="Q195" s="594"/>
      <c r="R195" s="594"/>
      <c r="S195" s="594"/>
      <c r="T195" s="594"/>
    </row>
    <row r="196" spans="1:20" s="200" customFormat="1" x14ac:dyDescent="0.7">
      <c r="A196" s="254"/>
      <c r="B196" s="259" t="s">
        <v>240</v>
      </c>
      <c r="C196" s="255"/>
      <c r="D196" s="256"/>
      <c r="E196" s="257"/>
      <c r="F196" s="250">
        <f>SUM(F139:F195)</f>
        <v>137959.30873896019</v>
      </c>
      <c r="G196" s="257"/>
      <c r="H196" s="250">
        <f>SUM(H139:H195)</f>
        <v>29939.247801739995</v>
      </c>
      <c r="I196" s="250">
        <f>SUM(I139:I195)</f>
        <v>167898.55654070014</v>
      </c>
      <c r="J196" s="553"/>
      <c r="K196" s="470"/>
      <c r="L196" s="594"/>
      <c r="M196" s="594"/>
      <c r="N196" s="594"/>
      <c r="O196" s="594"/>
      <c r="P196" s="594"/>
      <c r="Q196" s="594"/>
      <c r="R196" s="594"/>
      <c r="S196" s="594"/>
      <c r="T196" s="594"/>
    </row>
    <row r="197" spans="1:20" s="200" customFormat="1" x14ac:dyDescent="0.7">
      <c r="A197" s="201">
        <v>8.1199999999999992</v>
      </c>
      <c r="B197" s="182" t="s">
        <v>108</v>
      </c>
      <c r="C197" s="186">
        <v>1</v>
      </c>
      <c r="D197" s="187" t="s">
        <v>43</v>
      </c>
      <c r="E197" s="203"/>
      <c r="F197" s="204">
        <f t="shared" si="92"/>
        <v>0</v>
      </c>
      <c r="G197" s="203">
        <v>25000</v>
      </c>
      <c r="H197" s="204">
        <f t="shared" si="93"/>
        <v>25000</v>
      </c>
      <c r="I197" s="204">
        <f t="shared" si="94"/>
        <v>25000</v>
      </c>
      <c r="J197" s="543"/>
      <c r="K197" s="470"/>
      <c r="L197" s="594"/>
      <c r="M197" s="594"/>
      <c r="N197" s="594"/>
      <c r="O197" s="594"/>
      <c r="P197" s="594"/>
      <c r="Q197" s="594"/>
      <c r="R197" s="594"/>
      <c r="S197" s="594"/>
      <c r="T197" s="594"/>
    </row>
    <row r="198" spans="1:20" s="200" customFormat="1" x14ac:dyDescent="0.7">
      <c r="A198" s="352"/>
      <c r="B198" s="259" t="s">
        <v>241</v>
      </c>
      <c r="C198" s="255"/>
      <c r="D198" s="256"/>
      <c r="E198" s="257"/>
      <c r="F198" s="258"/>
      <c r="G198" s="257"/>
      <c r="H198" s="258"/>
      <c r="I198" s="250">
        <f>SUM(I197)</f>
        <v>25000</v>
      </c>
      <c r="J198" s="554"/>
      <c r="K198" s="470"/>
      <c r="L198" s="594"/>
      <c r="M198" s="594"/>
      <c r="N198" s="594"/>
      <c r="O198" s="594"/>
      <c r="P198" s="594"/>
      <c r="Q198" s="594"/>
      <c r="R198" s="594"/>
      <c r="S198" s="594"/>
      <c r="T198" s="594"/>
    </row>
    <row r="199" spans="1:20" s="200" customFormat="1" x14ac:dyDescent="0.7">
      <c r="A199" s="211"/>
      <c r="B199" s="212" t="s">
        <v>86</v>
      </c>
      <c r="C199" s="365"/>
      <c r="D199" s="213"/>
      <c r="E199" s="214"/>
      <c r="F199" s="215">
        <f>SUM(F117:F197)</f>
        <v>512280.71944620815</v>
      </c>
      <c r="G199" s="214"/>
      <c r="H199" s="215">
        <f>SUM(H117:H197)</f>
        <v>179362.22347547999</v>
      </c>
      <c r="I199" s="215">
        <f>I82+I91+I104+I116+I126+I137+I196+I198</f>
        <v>844278.21146084415</v>
      </c>
      <c r="J199" s="555"/>
      <c r="K199" s="470"/>
      <c r="L199" s="594"/>
      <c r="M199" s="641" t="s">
        <v>116</v>
      </c>
      <c r="N199" s="641"/>
      <c r="O199" s="641"/>
      <c r="P199" s="594"/>
      <c r="Q199" s="594"/>
      <c r="R199" s="594"/>
      <c r="S199" s="594"/>
      <c r="T199" s="594"/>
    </row>
    <row r="200" spans="1:20" s="200" customFormat="1" x14ac:dyDescent="0.7">
      <c r="A200" s="372">
        <v>9</v>
      </c>
      <c r="B200" s="131" t="s">
        <v>161</v>
      </c>
      <c r="C200" s="355"/>
      <c r="D200" s="132"/>
      <c r="E200" s="133"/>
      <c r="F200" s="217"/>
      <c r="G200" s="133"/>
      <c r="H200" s="217"/>
      <c r="I200" s="217"/>
      <c r="J200" s="556"/>
      <c r="K200" s="470"/>
      <c r="L200" s="594"/>
      <c r="M200" s="641" t="s">
        <v>117</v>
      </c>
      <c r="N200" s="641" t="s">
        <v>118</v>
      </c>
      <c r="O200" s="641" t="s">
        <v>2</v>
      </c>
      <c r="P200" s="594"/>
      <c r="Q200" s="594"/>
      <c r="R200" s="594"/>
      <c r="S200" s="594"/>
      <c r="T200" s="594"/>
    </row>
    <row r="201" spans="1:20" s="200" customFormat="1" x14ac:dyDescent="0.7">
      <c r="A201" s="275">
        <v>9.1</v>
      </c>
      <c r="B201" s="224" t="s">
        <v>125</v>
      </c>
      <c r="C201" s="281"/>
      <c r="D201" s="187"/>
      <c r="E201" s="188"/>
      <c r="F201" s="225"/>
      <c r="G201" s="188"/>
      <c r="H201" s="225"/>
      <c r="I201" s="225"/>
      <c r="J201" s="557"/>
      <c r="K201" s="470"/>
      <c r="L201" s="594"/>
      <c r="M201" s="642">
        <f>SUM(F183:F189)</f>
        <v>33799.599999999999</v>
      </c>
      <c r="N201" s="642">
        <f>SUM(H183:H189)</f>
        <v>8705.2000000000007</v>
      </c>
      <c r="O201" s="642">
        <f>SUM(I183:I189)</f>
        <v>42504.800000000003</v>
      </c>
      <c r="P201" s="594"/>
      <c r="Q201" s="594"/>
      <c r="R201" s="594"/>
      <c r="S201" s="594"/>
      <c r="T201" s="594"/>
    </row>
    <row r="202" spans="1:20" s="200" customFormat="1" x14ac:dyDescent="0.7">
      <c r="A202" s="220" t="s">
        <v>265</v>
      </c>
      <c r="B202" s="182" t="s">
        <v>299</v>
      </c>
      <c r="C202" s="137">
        <v>4</v>
      </c>
      <c r="D202" s="138" t="s">
        <v>23</v>
      </c>
      <c r="E202" s="139">
        <v>32000</v>
      </c>
      <c r="F202" s="221">
        <f>C202*E202</f>
        <v>128000</v>
      </c>
      <c r="G202" s="139">
        <v>2500</v>
      </c>
      <c r="H202" s="222">
        <f>C202*G202</f>
        <v>10000</v>
      </c>
      <c r="I202" s="222">
        <f>SUM(F202,H202)</f>
        <v>138000</v>
      </c>
      <c r="J202" s="557"/>
      <c r="K202" s="470"/>
      <c r="L202" s="594"/>
      <c r="M202" s="597"/>
      <c r="N202" s="597"/>
      <c r="O202" s="597"/>
      <c r="P202" s="594"/>
      <c r="Q202" s="594"/>
      <c r="R202" s="594"/>
      <c r="S202" s="594"/>
      <c r="T202" s="594"/>
    </row>
    <row r="203" spans="1:20" s="200" customFormat="1" x14ac:dyDescent="0.7">
      <c r="A203" s="220" t="s">
        <v>266</v>
      </c>
      <c r="B203" s="182" t="s">
        <v>297</v>
      </c>
      <c r="C203" s="137">
        <v>1</v>
      </c>
      <c r="D203" s="138" t="s">
        <v>23</v>
      </c>
      <c r="E203" s="139">
        <v>20000</v>
      </c>
      <c r="F203" s="221">
        <f>C203*E203</f>
        <v>20000</v>
      </c>
      <c r="G203" s="139">
        <v>5000</v>
      </c>
      <c r="H203" s="222">
        <f>C203*G203</f>
        <v>5000</v>
      </c>
      <c r="I203" s="222">
        <f>SUM(F203,H203)</f>
        <v>25000</v>
      </c>
      <c r="J203" s="557"/>
      <c r="K203" s="470"/>
      <c r="L203" s="594"/>
      <c r="M203" s="597"/>
      <c r="N203" s="597"/>
      <c r="O203" s="597"/>
      <c r="P203" s="594"/>
      <c r="Q203" s="594"/>
      <c r="R203" s="594"/>
      <c r="S203" s="594"/>
      <c r="T203" s="594"/>
    </row>
    <row r="204" spans="1:20" s="200" customFormat="1" x14ac:dyDescent="0.7">
      <c r="A204" s="220" t="s">
        <v>267</v>
      </c>
      <c r="B204" s="182" t="s">
        <v>298</v>
      </c>
      <c r="C204" s="137">
        <v>1</v>
      </c>
      <c r="D204" s="138" t="s">
        <v>23</v>
      </c>
      <c r="E204" s="139">
        <v>20000</v>
      </c>
      <c r="F204" s="221">
        <f>C204*E204</f>
        <v>20000</v>
      </c>
      <c r="G204" s="139">
        <v>5000</v>
      </c>
      <c r="H204" s="222">
        <f>C204*G204</f>
        <v>5000</v>
      </c>
      <c r="I204" s="222">
        <f>SUM(F204,H204)</f>
        <v>25000</v>
      </c>
      <c r="J204" s="557"/>
      <c r="K204" s="470"/>
      <c r="L204" s="594"/>
      <c r="M204" s="597"/>
      <c r="N204" s="597"/>
      <c r="O204" s="597"/>
      <c r="P204" s="594"/>
      <c r="Q204" s="594"/>
      <c r="R204" s="594"/>
      <c r="S204" s="594"/>
      <c r="T204" s="594"/>
    </row>
    <row r="205" spans="1:20" s="200" customFormat="1" x14ac:dyDescent="0.7">
      <c r="A205" s="220" t="s">
        <v>268</v>
      </c>
      <c r="B205" s="182" t="s">
        <v>269</v>
      </c>
      <c r="C205" s="137">
        <v>1</v>
      </c>
      <c r="D205" s="138" t="s">
        <v>43</v>
      </c>
      <c r="E205" s="139">
        <v>15000</v>
      </c>
      <c r="F205" s="221">
        <f>C205*E205</f>
        <v>15000</v>
      </c>
      <c r="G205" s="139">
        <v>5000</v>
      </c>
      <c r="H205" s="222">
        <f>C205*G205</f>
        <v>5000</v>
      </c>
      <c r="I205" s="222">
        <f t="shared" ref="I205:I226" si="95">SUM(F205,H205)</f>
        <v>20000</v>
      </c>
      <c r="J205" s="557"/>
      <c r="K205" s="470"/>
      <c r="L205" s="594"/>
      <c r="M205" s="597"/>
      <c r="N205" s="597"/>
      <c r="O205" s="597"/>
      <c r="P205" s="594"/>
      <c r="Q205" s="594"/>
      <c r="R205" s="594"/>
      <c r="S205" s="594"/>
      <c r="T205" s="594"/>
    </row>
    <row r="206" spans="1:20" s="325" customFormat="1" x14ac:dyDescent="0.7">
      <c r="A206" s="268"/>
      <c r="B206" s="259" t="s">
        <v>277</v>
      </c>
      <c r="C206" s="366"/>
      <c r="D206" s="256"/>
      <c r="E206" s="269"/>
      <c r="F206" s="373">
        <f>SUM(F202:F205)</f>
        <v>183000</v>
      </c>
      <c r="G206" s="374"/>
      <c r="H206" s="271">
        <f>SUM(H202:H205)</f>
        <v>25000</v>
      </c>
      <c r="I206" s="271">
        <f>SUM(I202:I205)</f>
        <v>208000</v>
      </c>
      <c r="J206" s="558"/>
      <c r="K206" s="470"/>
      <c r="L206" s="470"/>
      <c r="M206" s="643"/>
      <c r="N206" s="643"/>
      <c r="O206" s="643"/>
      <c r="P206" s="470"/>
      <c r="Q206" s="470"/>
      <c r="R206" s="470"/>
      <c r="S206" s="470"/>
      <c r="T206" s="470"/>
    </row>
    <row r="207" spans="1:20" s="200" customFormat="1" x14ac:dyDescent="0.7">
      <c r="A207" s="275">
        <v>9.1999999999999993</v>
      </c>
      <c r="B207" s="224" t="s">
        <v>126</v>
      </c>
      <c r="C207" s="281"/>
      <c r="D207" s="187"/>
      <c r="E207" s="188"/>
      <c r="F207" s="225"/>
      <c r="G207" s="188"/>
      <c r="H207" s="225"/>
      <c r="I207" s="225"/>
      <c r="J207" s="557"/>
      <c r="K207" s="470"/>
      <c r="L207" s="594"/>
      <c r="M207" s="597"/>
      <c r="N207" s="597"/>
      <c r="O207" s="597"/>
      <c r="P207" s="594"/>
      <c r="Q207" s="594"/>
      <c r="R207" s="594"/>
      <c r="S207" s="594"/>
      <c r="T207" s="594"/>
    </row>
    <row r="208" spans="1:20" s="200" customFormat="1" x14ac:dyDescent="0.7">
      <c r="A208" s="275" t="s">
        <v>270</v>
      </c>
      <c r="B208" s="224" t="s">
        <v>122</v>
      </c>
      <c r="C208" s="281"/>
      <c r="D208" s="187"/>
      <c r="E208" s="188"/>
      <c r="F208" s="225"/>
      <c r="G208" s="188"/>
      <c r="H208" s="225"/>
      <c r="I208" s="225"/>
      <c r="J208" s="557"/>
      <c r="K208" s="470"/>
      <c r="L208" s="594"/>
      <c r="M208" s="597"/>
      <c r="N208" s="597"/>
      <c r="O208" s="597"/>
      <c r="P208" s="594"/>
      <c r="Q208" s="594"/>
      <c r="R208" s="594"/>
      <c r="S208" s="594"/>
      <c r="T208" s="594"/>
    </row>
    <row r="209" spans="1:20" s="210" customFormat="1" x14ac:dyDescent="0.7">
      <c r="A209" s="220" t="s">
        <v>272</v>
      </c>
      <c r="B209" s="182" t="s">
        <v>286</v>
      </c>
      <c r="C209" s="281">
        <v>750</v>
      </c>
      <c r="D209" s="187" t="s">
        <v>123</v>
      </c>
      <c r="E209" s="188">
        <v>250</v>
      </c>
      <c r="F209" s="226">
        <f>C209*E209</f>
        <v>187500</v>
      </c>
      <c r="G209" s="188">
        <v>35</v>
      </c>
      <c r="H209" s="225">
        <f>C209*G209</f>
        <v>26250</v>
      </c>
      <c r="I209" s="225">
        <f t="shared" si="95"/>
        <v>213750</v>
      </c>
      <c r="J209" s="557"/>
      <c r="K209" s="470"/>
      <c r="L209" s="470"/>
      <c r="M209" s="470"/>
      <c r="N209" s="470"/>
      <c r="O209" s="470"/>
      <c r="P209" s="470"/>
      <c r="Q209" s="470"/>
      <c r="R209" s="470"/>
      <c r="S209" s="470"/>
      <c r="T209" s="470"/>
    </row>
    <row r="210" spans="1:20" s="210" customFormat="1" x14ac:dyDescent="0.7">
      <c r="A210" s="220" t="s">
        <v>273</v>
      </c>
      <c r="B210" s="182" t="s">
        <v>287</v>
      </c>
      <c r="C210" s="281">
        <v>1700</v>
      </c>
      <c r="D210" s="187" t="s">
        <v>123</v>
      </c>
      <c r="E210" s="188">
        <v>310</v>
      </c>
      <c r="F210" s="226">
        <f>C210*E210</f>
        <v>527000</v>
      </c>
      <c r="G210" s="188">
        <v>45</v>
      </c>
      <c r="H210" s="225">
        <f>C210*G210</f>
        <v>76500</v>
      </c>
      <c r="I210" s="225">
        <f t="shared" si="95"/>
        <v>603500</v>
      </c>
      <c r="J210" s="557"/>
      <c r="K210" s="470"/>
      <c r="L210" s="470"/>
      <c r="M210" s="470"/>
      <c r="N210" s="470"/>
      <c r="O210" s="470"/>
      <c r="P210" s="470"/>
      <c r="Q210" s="470"/>
      <c r="R210" s="470"/>
      <c r="S210" s="470"/>
      <c r="T210" s="470"/>
    </row>
    <row r="211" spans="1:20" s="191" customFormat="1" x14ac:dyDescent="0.7">
      <c r="A211" s="220" t="s">
        <v>274</v>
      </c>
      <c r="B211" s="182" t="s">
        <v>288</v>
      </c>
      <c r="C211" s="281">
        <v>370</v>
      </c>
      <c r="D211" s="187" t="s">
        <v>123</v>
      </c>
      <c r="E211" s="188">
        <v>680</v>
      </c>
      <c r="F211" s="226">
        <f>C211*E211</f>
        <v>251600</v>
      </c>
      <c r="G211" s="188">
        <v>115</v>
      </c>
      <c r="H211" s="225">
        <f>C211*G211</f>
        <v>42550</v>
      </c>
      <c r="I211" s="225">
        <f>SUM(F211,H211)</f>
        <v>294150</v>
      </c>
      <c r="J211" s="557"/>
      <c r="K211" s="470"/>
      <c r="L211" s="470"/>
      <c r="M211" s="470"/>
      <c r="N211" s="470"/>
      <c r="O211" s="470"/>
      <c r="P211" s="470"/>
      <c r="Q211" s="470"/>
      <c r="R211" s="470"/>
      <c r="S211" s="470"/>
      <c r="T211" s="470"/>
    </row>
    <row r="212" spans="1:20" s="191" customFormat="1" x14ac:dyDescent="0.7">
      <c r="A212" s="275" t="s">
        <v>271</v>
      </c>
      <c r="B212" s="224" t="s">
        <v>124</v>
      </c>
      <c r="C212" s="281"/>
      <c r="D212" s="187"/>
      <c r="E212" s="188"/>
      <c r="F212" s="226"/>
      <c r="G212" s="188"/>
      <c r="H212" s="225"/>
      <c r="I212" s="225"/>
      <c r="J212" s="557"/>
      <c r="K212" s="470"/>
      <c r="L212" s="470"/>
      <c r="M212" s="640">
        <f>SUM(I183:I189)</f>
        <v>42504.800000000003</v>
      </c>
      <c r="N212" s="470"/>
      <c r="O212" s="470"/>
      <c r="P212" s="470"/>
      <c r="Q212" s="470"/>
      <c r="R212" s="470"/>
      <c r="S212" s="470"/>
      <c r="T212" s="470"/>
    </row>
    <row r="213" spans="1:20" s="191" customFormat="1" x14ac:dyDescent="0.7">
      <c r="A213" s="220" t="s">
        <v>275</v>
      </c>
      <c r="B213" s="182" t="s">
        <v>289</v>
      </c>
      <c r="C213" s="281">
        <v>1500</v>
      </c>
      <c r="D213" s="187" t="s">
        <v>123</v>
      </c>
      <c r="E213" s="188">
        <v>12</v>
      </c>
      <c r="F213" s="226">
        <f>C213*E213</f>
        <v>18000</v>
      </c>
      <c r="G213" s="188">
        <v>7</v>
      </c>
      <c r="H213" s="225">
        <f>C213*G213</f>
        <v>10500</v>
      </c>
      <c r="I213" s="225">
        <f>SUM(F213,H213)</f>
        <v>28500</v>
      </c>
      <c r="J213" s="559"/>
      <c r="K213" s="470"/>
      <c r="L213" s="470"/>
      <c r="M213" s="470"/>
      <c r="N213" s="470"/>
      <c r="O213" s="470"/>
      <c r="P213" s="470"/>
      <c r="Q213" s="470"/>
      <c r="R213" s="470"/>
      <c r="S213" s="470"/>
      <c r="T213" s="470"/>
    </row>
    <row r="214" spans="1:20" s="191" customFormat="1" x14ac:dyDescent="0.7">
      <c r="A214" s="268"/>
      <c r="B214" s="259" t="s">
        <v>276</v>
      </c>
      <c r="C214" s="366"/>
      <c r="D214" s="256"/>
      <c r="E214" s="269"/>
      <c r="F214" s="373">
        <f>SUM(F208:F213)</f>
        <v>984100</v>
      </c>
      <c r="G214" s="269"/>
      <c r="H214" s="271">
        <f>SUM(H208:H213)</f>
        <v>155800</v>
      </c>
      <c r="I214" s="271">
        <f>SUM(I209:I213)</f>
        <v>1139900</v>
      </c>
      <c r="J214" s="560"/>
      <c r="K214" s="470"/>
      <c r="L214" s="470"/>
      <c r="M214" s="470"/>
      <c r="N214" s="470"/>
      <c r="O214" s="470"/>
      <c r="P214" s="470"/>
      <c r="Q214" s="470"/>
      <c r="R214" s="470"/>
      <c r="S214" s="470"/>
      <c r="T214" s="470"/>
    </row>
    <row r="215" spans="1:20" s="191" customFormat="1" x14ac:dyDescent="0.7">
      <c r="A215" s="275">
        <v>9.3000000000000007</v>
      </c>
      <c r="B215" s="224" t="s">
        <v>127</v>
      </c>
      <c r="C215" s="281"/>
      <c r="D215" s="187"/>
      <c r="E215" s="188"/>
      <c r="F215" s="225"/>
      <c r="G215" s="188"/>
      <c r="H215" s="225"/>
      <c r="I215" s="225"/>
      <c r="J215" s="557"/>
      <c r="K215" s="470"/>
      <c r="L215" s="470"/>
      <c r="M215" s="470"/>
      <c r="N215" s="470"/>
      <c r="O215" s="470"/>
      <c r="P215" s="470"/>
      <c r="Q215" s="470"/>
      <c r="R215" s="470"/>
      <c r="S215" s="470"/>
      <c r="T215" s="470"/>
    </row>
    <row r="216" spans="1:20" s="191" customFormat="1" x14ac:dyDescent="0.7">
      <c r="A216" s="220" t="s">
        <v>279</v>
      </c>
      <c r="B216" s="182" t="s">
        <v>283</v>
      </c>
      <c r="C216" s="137">
        <v>450</v>
      </c>
      <c r="D216" s="138" t="s">
        <v>123</v>
      </c>
      <c r="E216" s="139">
        <v>170</v>
      </c>
      <c r="F216" s="221">
        <f>C216*E216</f>
        <v>76500</v>
      </c>
      <c r="G216" s="188">
        <v>34</v>
      </c>
      <c r="H216" s="222">
        <f>C216*G216</f>
        <v>15300</v>
      </c>
      <c r="I216" s="222">
        <f t="shared" si="95"/>
        <v>91800</v>
      </c>
      <c r="J216" s="557"/>
      <c r="K216" s="470"/>
      <c r="L216" s="470"/>
      <c r="M216" s="470"/>
      <c r="N216" s="470"/>
      <c r="O216" s="470"/>
      <c r="P216" s="470"/>
      <c r="Q216" s="470"/>
      <c r="R216" s="470"/>
      <c r="S216" s="470"/>
      <c r="T216" s="470"/>
    </row>
    <row r="217" spans="1:20" s="191" customFormat="1" x14ac:dyDescent="0.7">
      <c r="A217" s="220" t="s">
        <v>280</v>
      </c>
      <c r="B217" s="182" t="s">
        <v>284</v>
      </c>
      <c r="C217" s="137">
        <v>400</v>
      </c>
      <c r="D217" s="138" t="s">
        <v>123</v>
      </c>
      <c r="E217" s="139">
        <v>25</v>
      </c>
      <c r="F217" s="221">
        <f>C217*E217</f>
        <v>10000</v>
      </c>
      <c r="G217" s="188">
        <v>34</v>
      </c>
      <c r="H217" s="222">
        <f>C217*G217</f>
        <v>13600</v>
      </c>
      <c r="I217" s="222">
        <f>SUM(F217,H217)</f>
        <v>23600</v>
      </c>
      <c r="J217" s="557"/>
      <c r="K217" s="470"/>
      <c r="L217" s="470"/>
      <c r="M217" s="470"/>
      <c r="N217" s="470"/>
      <c r="O217" s="470"/>
      <c r="P217" s="470"/>
      <c r="Q217" s="470"/>
      <c r="R217" s="470"/>
      <c r="S217" s="470"/>
      <c r="T217" s="470"/>
    </row>
    <row r="218" spans="1:20" s="191" customFormat="1" x14ac:dyDescent="0.7">
      <c r="A218" s="220" t="s">
        <v>281</v>
      </c>
      <c r="B218" s="182" t="s">
        <v>285</v>
      </c>
      <c r="C218" s="281">
        <v>120</v>
      </c>
      <c r="D218" s="187" t="s">
        <v>123</v>
      </c>
      <c r="E218" s="188">
        <v>250</v>
      </c>
      <c r="F218" s="226">
        <f>C218*E218</f>
        <v>30000</v>
      </c>
      <c r="G218" s="188">
        <v>65</v>
      </c>
      <c r="H218" s="225">
        <f>C218*G218</f>
        <v>7800</v>
      </c>
      <c r="I218" s="225">
        <f t="shared" si="95"/>
        <v>37800</v>
      </c>
      <c r="J218" s="557"/>
      <c r="K218" s="470"/>
      <c r="L218" s="470"/>
      <c r="M218" s="470"/>
      <c r="N218" s="470"/>
      <c r="O218" s="470"/>
      <c r="P218" s="470"/>
      <c r="Q218" s="470"/>
      <c r="R218" s="470"/>
      <c r="S218" s="470"/>
      <c r="T218" s="470"/>
    </row>
    <row r="219" spans="1:20" s="191" customFormat="1" x14ac:dyDescent="0.7">
      <c r="A219" s="220" t="s">
        <v>282</v>
      </c>
      <c r="B219" s="182" t="s">
        <v>269</v>
      </c>
      <c r="C219" s="137">
        <v>1</v>
      </c>
      <c r="D219" s="138" t="s">
        <v>43</v>
      </c>
      <c r="E219" s="139">
        <v>34000</v>
      </c>
      <c r="F219" s="221">
        <f>C219*E219</f>
        <v>34000</v>
      </c>
      <c r="G219" s="139">
        <v>20000</v>
      </c>
      <c r="H219" s="222">
        <f t="shared" ref="H219:H226" si="96">C219*G219</f>
        <v>20000</v>
      </c>
      <c r="I219" s="222">
        <f t="shared" si="95"/>
        <v>54000</v>
      </c>
      <c r="J219" s="557"/>
      <c r="K219" s="470"/>
      <c r="L219" s="470"/>
      <c r="M219" s="470"/>
      <c r="N219" s="470"/>
      <c r="O219" s="470"/>
      <c r="P219" s="470"/>
      <c r="Q219" s="470"/>
      <c r="R219" s="470"/>
      <c r="S219" s="470"/>
      <c r="T219" s="470"/>
    </row>
    <row r="220" spans="1:20" s="191" customFormat="1" x14ac:dyDescent="0.7">
      <c r="A220" s="268"/>
      <c r="B220" s="259" t="s">
        <v>278</v>
      </c>
      <c r="C220" s="366"/>
      <c r="D220" s="256"/>
      <c r="E220" s="269"/>
      <c r="F220" s="373">
        <f>SUM(F216:F219)</f>
        <v>150500</v>
      </c>
      <c r="G220" s="269"/>
      <c r="H220" s="271">
        <f>SUM(H216:H219)</f>
        <v>56700</v>
      </c>
      <c r="I220" s="271">
        <f>SUM(I216:I219)</f>
        <v>207200</v>
      </c>
      <c r="J220" s="560"/>
      <c r="K220" s="470"/>
      <c r="L220" s="470"/>
      <c r="M220" s="470"/>
      <c r="N220" s="470"/>
      <c r="O220" s="470"/>
      <c r="P220" s="470"/>
      <c r="Q220" s="470"/>
      <c r="R220" s="470"/>
      <c r="S220" s="470"/>
      <c r="T220" s="470"/>
    </row>
    <row r="221" spans="1:20" s="191" customFormat="1" x14ac:dyDescent="0.7">
      <c r="A221" s="275">
        <v>9.4</v>
      </c>
      <c r="B221" s="224" t="s">
        <v>128</v>
      </c>
      <c r="C221" s="281"/>
      <c r="D221" s="187"/>
      <c r="E221" s="188"/>
      <c r="F221" s="225"/>
      <c r="G221" s="188"/>
      <c r="H221" s="225"/>
      <c r="I221" s="225"/>
      <c r="J221" s="557"/>
      <c r="K221" s="470"/>
      <c r="L221" s="470"/>
      <c r="M221" s="470"/>
      <c r="N221" s="470"/>
      <c r="O221" s="470"/>
      <c r="P221" s="470"/>
      <c r="Q221" s="470"/>
      <c r="R221" s="470"/>
      <c r="S221" s="470"/>
      <c r="T221" s="470"/>
    </row>
    <row r="222" spans="1:20" s="191" customFormat="1" x14ac:dyDescent="0.7">
      <c r="A222" s="220" t="s">
        <v>290</v>
      </c>
      <c r="B222" s="182" t="s">
        <v>292</v>
      </c>
      <c r="C222" s="137">
        <v>4</v>
      </c>
      <c r="D222" s="138" t="s">
        <v>23</v>
      </c>
      <c r="E222" s="139">
        <v>12000</v>
      </c>
      <c r="F222" s="221">
        <f>C222*E222</f>
        <v>48000</v>
      </c>
      <c r="G222" s="139">
        <v>2500</v>
      </c>
      <c r="H222" s="222">
        <f t="shared" si="96"/>
        <v>10000</v>
      </c>
      <c r="I222" s="222">
        <f>SUM(F222,H222)</f>
        <v>58000</v>
      </c>
      <c r="J222" s="557"/>
      <c r="K222" s="470"/>
      <c r="L222" s="470"/>
      <c r="M222" s="470"/>
      <c r="N222" s="470"/>
      <c r="O222" s="470"/>
      <c r="P222" s="470"/>
      <c r="Q222" s="470"/>
      <c r="R222" s="470"/>
      <c r="S222" s="470"/>
      <c r="T222" s="470"/>
    </row>
    <row r="223" spans="1:20" s="191" customFormat="1" x14ac:dyDescent="0.7">
      <c r="A223" s="220" t="s">
        <v>291</v>
      </c>
      <c r="B223" s="182" t="s">
        <v>269</v>
      </c>
      <c r="C223" s="137">
        <v>1</v>
      </c>
      <c r="D223" s="138" t="s">
        <v>43</v>
      </c>
      <c r="E223" s="139">
        <v>3200</v>
      </c>
      <c r="F223" s="221">
        <f>C223*E223</f>
        <v>3200</v>
      </c>
      <c r="G223" s="139">
        <v>5000</v>
      </c>
      <c r="H223" s="222">
        <f t="shared" si="96"/>
        <v>5000</v>
      </c>
      <c r="I223" s="222">
        <f>SUM(F223,H223)</f>
        <v>8200</v>
      </c>
      <c r="J223" s="557"/>
      <c r="K223" s="470"/>
      <c r="L223" s="470"/>
      <c r="M223" s="470"/>
      <c r="N223" s="470"/>
      <c r="O223" s="470"/>
      <c r="P223" s="470"/>
      <c r="Q223" s="470"/>
      <c r="R223" s="470"/>
      <c r="S223" s="470"/>
      <c r="T223" s="470"/>
    </row>
    <row r="224" spans="1:20" s="191" customFormat="1" x14ac:dyDescent="0.7">
      <c r="A224" s="268"/>
      <c r="B224" s="259" t="s">
        <v>293</v>
      </c>
      <c r="C224" s="366"/>
      <c r="D224" s="256"/>
      <c r="E224" s="269"/>
      <c r="F224" s="373">
        <f>SUM(F222:F223)</f>
        <v>51200</v>
      </c>
      <c r="G224" s="374"/>
      <c r="H224" s="271">
        <f>SUM(H222:H223)</f>
        <v>15000</v>
      </c>
      <c r="I224" s="271">
        <f>SUM(I222:I223)</f>
        <v>66200</v>
      </c>
      <c r="J224" s="560"/>
      <c r="K224" s="470"/>
      <c r="L224" s="470"/>
      <c r="M224" s="470"/>
      <c r="N224" s="470"/>
      <c r="O224" s="470"/>
      <c r="P224" s="470"/>
      <c r="Q224" s="470"/>
      <c r="R224" s="470"/>
      <c r="S224" s="470"/>
      <c r="T224" s="470"/>
    </row>
    <row r="225" spans="1:20" s="191" customFormat="1" x14ac:dyDescent="0.7">
      <c r="A225" s="275">
        <v>9.5</v>
      </c>
      <c r="B225" s="224" t="s">
        <v>129</v>
      </c>
      <c r="C225" s="281"/>
      <c r="D225" s="187"/>
      <c r="E225" s="188"/>
      <c r="F225" s="225"/>
      <c r="G225" s="188"/>
      <c r="H225" s="225"/>
      <c r="I225" s="225"/>
      <c r="J225" s="557"/>
      <c r="K225" s="470"/>
      <c r="L225" s="470"/>
      <c r="M225" s="470"/>
      <c r="N225" s="470"/>
      <c r="O225" s="470"/>
      <c r="P225" s="470"/>
      <c r="Q225" s="470"/>
      <c r="R225" s="470"/>
      <c r="S225" s="470"/>
      <c r="T225" s="470"/>
    </row>
    <row r="226" spans="1:20" s="191" customFormat="1" x14ac:dyDescent="0.7">
      <c r="A226" s="220" t="s">
        <v>294</v>
      </c>
      <c r="B226" s="182" t="s">
        <v>129</v>
      </c>
      <c r="C226" s="137">
        <v>4</v>
      </c>
      <c r="D226" s="138" t="s">
        <v>23</v>
      </c>
      <c r="E226" s="139"/>
      <c r="F226" s="221">
        <f>C226*E226</f>
        <v>0</v>
      </c>
      <c r="G226" s="139">
        <v>10000</v>
      </c>
      <c r="H226" s="222">
        <f t="shared" si="96"/>
        <v>40000</v>
      </c>
      <c r="I226" s="222">
        <f t="shared" si="95"/>
        <v>40000</v>
      </c>
      <c r="J226" s="557"/>
      <c r="K226" s="470"/>
      <c r="L226" s="470"/>
      <c r="M226" s="470"/>
      <c r="N226" s="470"/>
      <c r="O226" s="470"/>
      <c r="P226" s="470"/>
      <c r="Q226" s="470"/>
      <c r="R226" s="470"/>
      <c r="S226" s="470"/>
      <c r="T226" s="470"/>
    </row>
    <row r="227" spans="1:20" s="191" customFormat="1" x14ac:dyDescent="0.7">
      <c r="A227" s="268"/>
      <c r="B227" s="259" t="s">
        <v>295</v>
      </c>
      <c r="C227" s="366"/>
      <c r="D227" s="256"/>
      <c r="E227" s="269"/>
      <c r="F227" s="373">
        <f>SUM(F226)</f>
        <v>0</v>
      </c>
      <c r="G227" s="374"/>
      <c r="H227" s="271">
        <f>SUM(H226)</f>
        <v>40000</v>
      </c>
      <c r="I227" s="271">
        <f>SUM(I226)</f>
        <v>40000</v>
      </c>
      <c r="J227" s="560"/>
      <c r="K227" s="470"/>
      <c r="L227" s="470"/>
      <c r="M227" s="470"/>
      <c r="N227" s="470"/>
      <c r="O227" s="470"/>
      <c r="P227" s="470"/>
      <c r="Q227" s="470"/>
      <c r="R227" s="470"/>
      <c r="S227" s="470"/>
      <c r="T227" s="470"/>
    </row>
    <row r="228" spans="1:20" s="191" customFormat="1" x14ac:dyDescent="0.7">
      <c r="A228" s="227"/>
      <c r="B228" s="163" t="s">
        <v>130</v>
      </c>
      <c r="C228" s="356"/>
      <c r="D228" s="164"/>
      <c r="E228" s="165"/>
      <c r="F228" s="228">
        <f>SUM(F201:F226)</f>
        <v>2737600</v>
      </c>
      <c r="G228" s="165"/>
      <c r="H228" s="228">
        <f>SUM(H201:H226)</f>
        <v>545000</v>
      </c>
      <c r="I228" s="228">
        <f>I206+I214+I220+I224+I227</f>
        <v>1661300</v>
      </c>
      <c r="J228" s="561"/>
      <c r="K228" s="470"/>
      <c r="L228" s="470"/>
      <c r="M228" s="470"/>
      <c r="N228" s="470"/>
      <c r="O228" s="470"/>
      <c r="P228" s="470"/>
      <c r="Q228" s="470"/>
      <c r="R228" s="470"/>
      <c r="S228" s="470"/>
      <c r="T228" s="470"/>
    </row>
    <row r="229" spans="1:20" s="191" customFormat="1" x14ac:dyDescent="0.7">
      <c r="A229" s="232"/>
      <c r="B229" s="231" t="s">
        <v>131</v>
      </c>
      <c r="C229" s="367"/>
      <c r="D229" s="232"/>
      <c r="E229" s="230"/>
      <c r="F229" s="230"/>
      <c r="G229" s="230"/>
      <c r="H229" s="230"/>
      <c r="I229" s="233">
        <f>I15+I23+I32+I38+I47+I57+I67+I199+I228</f>
        <v>19299052.510407142</v>
      </c>
      <c r="J229" s="562"/>
      <c r="K229" s="470"/>
      <c r="L229" s="470"/>
      <c r="M229" s="470"/>
      <c r="N229" s="470"/>
      <c r="O229" s="470"/>
      <c r="P229" s="470"/>
      <c r="Q229" s="470"/>
      <c r="R229" s="470"/>
      <c r="S229" s="470"/>
      <c r="T229" s="470"/>
    </row>
    <row r="230" spans="1:20" s="191" customFormat="1" x14ac:dyDescent="0.7">
      <c r="A230" s="234"/>
      <c r="C230" s="368"/>
      <c r="D230" s="234"/>
      <c r="J230" s="563"/>
      <c r="K230" s="470"/>
      <c r="L230" s="470"/>
      <c r="M230" s="470"/>
      <c r="N230" s="470"/>
      <c r="O230" s="470"/>
      <c r="P230" s="470"/>
      <c r="Q230" s="470"/>
      <c r="R230" s="470"/>
      <c r="S230" s="470"/>
      <c r="T230" s="470"/>
    </row>
    <row r="231" spans="1:20" s="191" customFormat="1" x14ac:dyDescent="0.7">
      <c r="A231" s="385" t="s">
        <v>425</v>
      </c>
      <c r="B231" s="386"/>
      <c r="C231" s="386"/>
      <c r="D231" s="387"/>
      <c r="E231" s="388"/>
      <c r="F231" s="388"/>
      <c r="G231" s="388"/>
      <c r="J231" s="563"/>
      <c r="K231" s="470"/>
      <c r="L231" s="470"/>
      <c r="M231" s="470"/>
      <c r="N231" s="470"/>
      <c r="O231" s="470"/>
      <c r="P231" s="470"/>
      <c r="Q231" s="470"/>
      <c r="R231" s="470"/>
      <c r="S231" s="470"/>
      <c r="T231" s="470"/>
    </row>
    <row r="232" spans="1:20" s="191" customFormat="1" x14ac:dyDescent="0.7">
      <c r="A232" s="386" t="s">
        <v>426</v>
      </c>
      <c r="B232" s="386"/>
      <c r="C232" s="386"/>
      <c r="D232" s="387"/>
      <c r="E232" s="388"/>
      <c r="F232" s="388"/>
      <c r="G232" s="388"/>
      <c r="J232" s="563"/>
      <c r="K232" s="470"/>
      <c r="L232" s="470"/>
      <c r="M232" s="470"/>
      <c r="N232" s="470"/>
      <c r="O232" s="470"/>
      <c r="P232" s="470"/>
      <c r="Q232" s="470"/>
      <c r="R232" s="470"/>
      <c r="S232" s="470"/>
      <c r="T232" s="470"/>
    </row>
    <row r="233" spans="1:20" s="191" customFormat="1" x14ac:dyDescent="0.7">
      <c r="A233" s="386" t="s">
        <v>436</v>
      </c>
      <c r="B233" s="386"/>
      <c r="C233" s="386"/>
      <c r="D233" s="386"/>
      <c r="E233" s="389"/>
      <c r="F233" s="389"/>
      <c r="G233" s="389"/>
      <c r="J233" s="563"/>
      <c r="K233" s="470"/>
      <c r="L233" s="470"/>
      <c r="M233" s="470"/>
      <c r="N233" s="470"/>
      <c r="O233" s="470"/>
      <c r="P233" s="470"/>
      <c r="Q233" s="470"/>
      <c r="R233" s="470"/>
      <c r="S233" s="470"/>
      <c r="T233" s="470"/>
    </row>
    <row r="234" spans="1:20" s="191" customFormat="1" x14ac:dyDescent="0.7">
      <c r="A234" s="386" t="s">
        <v>431</v>
      </c>
      <c r="B234" s="386"/>
      <c r="C234" s="386"/>
      <c r="D234" s="386"/>
      <c r="E234" s="389"/>
      <c r="F234" s="389"/>
      <c r="G234" s="389"/>
      <c r="J234" s="563"/>
      <c r="K234" s="470"/>
      <c r="L234" s="470"/>
      <c r="M234" s="470"/>
      <c r="N234" s="470"/>
      <c r="O234" s="470"/>
      <c r="P234" s="470"/>
      <c r="Q234" s="470"/>
      <c r="R234" s="470"/>
      <c r="S234" s="470"/>
      <c r="T234" s="470"/>
    </row>
    <row r="235" spans="1:20" s="191" customFormat="1" x14ac:dyDescent="0.7">
      <c r="A235" s="389" t="s">
        <v>435</v>
      </c>
      <c r="B235" s="390"/>
      <c r="C235" s="390"/>
      <c r="D235" s="389"/>
      <c r="E235" s="389"/>
      <c r="F235" s="389"/>
      <c r="G235" s="389"/>
      <c r="J235" s="563"/>
      <c r="K235" s="470"/>
      <c r="L235" s="470"/>
      <c r="M235" s="470"/>
      <c r="N235" s="470"/>
      <c r="O235" s="470"/>
      <c r="P235" s="470"/>
      <c r="Q235" s="470"/>
      <c r="R235" s="470"/>
      <c r="S235" s="470"/>
      <c r="T235" s="470"/>
    </row>
    <row r="236" spans="1:20" s="191" customFormat="1" x14ac:dyDescent="0.7">
      <c r="A236" s="389" t="s">
        <v>432</v>
      </c>
      <c r="B236" s="390"/>
      <c r="C236" s="390"/>
      <c r="D236" s="389"/>
      <c r="E236" s="389"/>
      <c r="F236" s="389"/>
      <c r="G236" s="389"/>
      <c r="J236" s="563"/>
      <c r="K236" s="470"/>
      <c r="L236" s="470"/>
      <c r="M236" s="470"/>
      <c r="N236" s="470"/>
      <c r="O236" s="470"/>
      <c r="P236" s="470"/>
      <c r="Q236" s="470"/>
      <c r="R236" s="470"/>
      <c r="S236" s="470"/>
      <c r="T236" s="470"/>
    </row>
    <row r="237" spans="1:20" s="191" customFormat="1" x14ac:dyDescent="0.7">
      <c r="A237" s="389" t="s">
        <v>490</v>
      </c>
      <c r="B237" s="390"/>
      <c r="C237" s="390"/>
      <c r="D237" s="389"/>
      <c r="E237" s="389"/>
      <c r="F237" s="389"/>
      <c r="G237" s="389"/>
      <c r="J237" s="563"/>
      <c r="K237" s="470"/>
      <c r="L237" s="470"/>
      <c r="M237" s="470"/>
      <c r="N237" s="470"/>
      <c r="O237" s="470"/>
      <c r="P237" s="470"/>
      <c r="Q237" s="470"/>
      <c r="R237" s="470"/>
      <c r="S237" s="470"/>
      <c r="T237" s="470"/>
    </row>
    <row r="238" spans="1:20" s="191" customFormat="1" x14ac:dyDescent="0.7">
      <c r="A238" s="389" t="s">
        <v>491</v>
      </c>
      <c r="B238" s="390"/>
      <c r="C238" s="390"/>
      <c r="D238" s="389"/>
      <c r="E238" s="389"/>
      <c r="F238" s="389"/>
      <c r="G238" s="389"/>
      <c r="J238" s="563"/>
      <c r="K238" s="470"/>
      <c r="L238" s="470"/>
      <c r="M238" s="470"/>
      <c r="N238" s="470"/>
      <c r="O238" s="470"/>
      <c r="P238" s="470"/>
      <c r="Q238" s="470"/>
      <c r="R238" s="470"/>
      <c r="S238" s="470"/>
      <c r="T238" s="470"/>
    </row>
    <row r="239" spans="1:20" s="191" customFormat="1" x14ac:dyDescent="0.7">
      <c r="A239" s="389" t="s">
        <v>492</v>
      </c>
      <c r="B239" s="390"/>
      <c r="C239" s="390"/>
      <c r="D239" s="389"/>
      <c r="E239" s="389"/>
      <c r="F239" s="389"/>
      <c r="G239" s="389"/>
      <c r="J239" s="563"/>
      <c r="K239" s="470"/>
      <c r="L239" s="470"/>
      <c r="M239" s="470"/>
      <c r="N239" s="470"/>
      <c r="O239" s="470"/>
      <c r="P239" s="470"/>
      <c r="Q239" s="470"/>
      <c r="R239" s="470"/>
      <c r="S239" s="470"/>
      <c r="T239" s="470"/>
    </row>
    <row r="240" spans="1:20" s="191" customFormat="1" ht="27.75" customHeight="1" x14ac:dyDescent="0.7">
      <c r="A240" s="389" t="s">
        <v>493</v>
      </c>
      <c r="B240" s="390"/>
      <c r="C240" s="390"/>
      <c r="D240" s="389"/>
      <c r="E240" s="389"/>
      <c r="F240" s="389"/>
      <c r="G240" s="389"/>
      <c r="J240" s="563"/>
      <c r="K240" s="470"/>
      <c r="L240" s="470"/>
      <c r="M240" s="470"/>
      <c r="N240" s="470"/>
      <c r="O240" s="470"/>
      <c r="P240" s="470"/>
      <c r="Q240" s="470"/>
      <c r="R240" s="470"/>
      <c r="S240" s="470"/>
      <c r="T240" s="470"/>
    </row>
    <row r="241" spans="1:20" s="191" customFormat="1" x14ac:dyDescent="0.7">
      <c r="A241" s="389" t="s">
        <v>437</v>
      </c>
      <c r="B241" s="377"/>
      <c r="C241" s="377"/>
      <c r="D241" s="376"/>
      <c r="E241" s="376"/>
      <c r="F241" s="376"/>
      <c r="G241" s="376"/>
      <c r="J241" s="563"/>
      <c r="K241" s="470"/>
      <c r="L241" s="470"/>
      <c r="M241" s="470"/>
      <c r="N241" s="470"/>
      <c r="O241" s="470"/>
      <c r="P241" s="470"/>
      <c r="Q241" s="470"/>
      <c r="R241" s="470"/>
      <c r="S241" s="470"/>
      <c r="T241" s="470"/>
    </row>
    <row r="242" spans="1:20" s="191" customFormat="1" x14ac:dyDescent="0.7">
      <c r="A242" s="376"/>
      <c r="B242" s="377"/>
      <c r="C242" s="377"/>
      <c r="D242" s="376"/>
      <c r="E242" s="376"/>
      <c r="F242" s="376"/>
      <c r="G242" s="376"/>
      <c r="J242" s="563"/>
      <c r="K242" s="470"/>
      <c r="L242" s="470"/>
      <c r="M242" s="470"/>
      <c r="N242" s="470"/>
      <c r="O242" s="470"/>
      <c r="P242" s="470"/>
      <c r="Q242" s="470"/>
      <c r="R242" s="470"/>
      <c r="S242" s="470"/>
      <c r="T242" s="470"/>
    </row>
    <row r="243" spans="1:20" s="191" customFormat="1" x14ac:dyDescent="0.7">
      <c r="A243" s="376"/>
      <c r="B243" s="378"/>
      <c r="C243" s="379"/>
      <c r="D243" s="380"/>
      <c r="E243" s="380"/>
      <c r="F243" s="380"/>
      <c r="G243" s="380"/>
      <c r="J243" s="563"/>
      <c r="K243" s="470"/>
      <c r="L243" s="470"/>
      <c r="M243" s="470"/>
      <c r="N243" s="470"/>
      <c r="O243" s="470"/>
      <c r="P243" s="470"/>
      <c r="Q243" s="470"/>
      <c r="R243" s="470"/>
      <c r="S243" s="470"/>
      <c r="T243" s="470"/>
    </row>
    <row r="244" spans="1:20" s="191" customFormat="1" x14ac:dyDescent="0.7">
      <c r="A244" s="234"/>
      <c r="C244" s="368"/>
      <c r="D244" s="234"/>
      <c r="J244" s="563"/>
      <c r="K244" s="470"/>
      <c r="L244" s="470"/>
      <c r="M244" s="470"/>
      <c r="N244" s="470"/>
      <c r="O244" s="470"/>
      <c r="P244" s="470"/>
      <c r="Q244" s="470"/>
      <c r="R244" s="470"/>
      <c r="S244" s="470"/>
      <c r="T244" s="470"/>
    </row>
    <row r="245" spans="1:20" s="191" customFormat="1" x14ac:dyDescent="0.7">
      <c r="A245" s="234"/>
      <c r="C245" s="368"/>
      <c r="D245" s="234"/>
      <c r="J245" s="563"/>
      <c r="K245" s="470"/>
      <c r="L245" s="470"/>
      <c r="M245" s="470"/>
      <c r="N245" s="470"/>
      <c r="O245" s="470"/>
      <c r="P245" s="470"/>
      <c r="Q245" s="470"/>
      <c r="R245" s="470"/>
      <c r="S245" s="470"/>
      <c r="T245" s="470"/>
    </row>
    <row r="246" spans="1:20" s="191" customFormat="1" x14ac:dyDescent="0.7">
      <c r="A246" s="234"/>
      <c r="C246" s="368"/>
      <c r="D246" s="234"/>
      <c r="J246" s="563"/>
      <c r="K246" s="470"/>
      <c r="L246" s="470"/>
      <c r="M246" s="470"/>
      <c r="N246" s="470"/>
      <c r="O246" s="470"/>
      <c r="P246" s="470"/>
      <c r="Q246" s="470"/>
      <c r="R246" s="470"/>
      <c r="S246" s="470"/>
      <c r="T246" s="470"/>
    </row>
    <row r="247" spans="1:20" s="191" customFormat="1" x14ac:dyDescent="0.7">
      <c r="A247" s="234"/>
      <c r="C247" s="368"/>
      <c r="D247" s="234"/>
      <c r="J247" s="563"/>
      <c r="K247" s="470"/>
      <c r="L247" s="470"/>
      <c r="M247" s="470"/>
      <c r="N247" s="470"/>
      <c r="O247" s="470"/>
      <c r="P247" s="470"/>
      <c r="Q247" s="470"/>
      <c r="R247" s="470"/>
      <c r="S247" s="470"/>
      <c r="T247" s="470"/>
    </row>
    <row r="248" spans="1:20" s="191" customFormat="1" x14ac:dyDescent="0.7">
      <c r="A248" s="234"/>
      <c r="C248" s="368"/>
      <c r="D248" s="234"/>
      <c r="J248" s="563"/>
      <c r="K248" s="470"/>
      <c r="L248" s="470"/>
      <c r="M248" s="470"/>
      <c r="N248" s="470"/>
      <c r="O248" s="470"/>
      <c r="P248" s="470"/>
      <c r="Q248" s="470"/>
      <c r="R248" s="470"/>
      <c r="S248" s="470"/>
      <c r="T248" s="470"/>
    </row>
    <row r="249" spans="1:20" s="191" customFormat="1" x14ac:dyDescent="0.7">
      <c r="A249" s="234"/>
      <c r="C249" s="368"/>
      <c r="D249" s="234"/>
      <c r="J249" s="563"/>
      <c r="K249" s="470"/>
      <c r="L249" s="470"/>
      <c r="M249" s="470"/>
      <c r="N249" s="470"/>
      <c r="O249" s="470"/>
      <c r="P249" s="470"/>
      <c r="Q249" s="470"/>
      <c r="R249" s="470"/>
      <c r="S249" s="470"/>
      <c r="T249" s="470"/>
    </row>
    <row r="250" spans="1:20" s="191" customFormat="1" x14ac:dyDescent="0.7">
      <c r="A250" s="234"/>
      <c r="C250" s="368"/>
      <c r="D250" s="234"/>
      <c r="J250" s="563"/>
      <c r="K250" s="470"/>
      <c r="L250" s="470"/>
      <c r="M250" s="470"/>
      <c r="N250" s="470"/>
      <c r="O250" s="470"/>
      <c r="P250" s="470"/>
      <c r="Q250" s="470"/>
      <c r="R250" s="470"/>
      <c r="S250" s="470"/>
      <c r="T250" s="470"/>
    </row>
    <row r="251" spans="1:20" s="191" customFormat="1" x14ac:dyDescent="0.7">
      <c r="A251" s="234"/>
      <c r="C251" s="368"/>
      <c r="D251" s="234"/>
      <c r="J251" s="563"/>
      <c r="K251" s="470"/>
      <c r="L251" s="470"/>
      <c r="M251" s="470"/>
      <c r="N251" s="470"/>
      <c r="O251" s="470"/>
      <c r="P251" s="470"/>
      <c r="Q251" s="470"/>
      <c r="R251" s="470"/>
      <c r="S251" s="470"/>
      <c r="T251" s="470"/>
    </row>
    <row r="252" spans="1:20" s="191" customFormat="1" x14ac:dyDescent="0.7">
      <c r="A252" s="234"/>
      <c r="C252" s="368"/>
      <c r="D252" s="234"/>
      <c r="J252" s="563"/>
      <c r="K252" s="470"/>
      <c r="L252" s="470"/>
      <c r="M252" s="470"/>
      <c r="N252" s="470"/>
      <c r="O252" s="470"/>
      <c r="P252" s="470"/>
      <c r="Q252" s="470"/>
      <c r="R252" s="470"/>
      <c r="S252" s="470"/>
      <c r="T252" s="470"/>
    </row>
    <row r="253" spans="1:20" s="191" customFormat="1" x14ac:dyDescent="0.7">
      <c r="A253" s="234"/>
      <c r="C253" s="368"/>
      <c r="D253" s="234"/>
      <c r="J253" s="563"/>
      <c r="K253" s="470"/>
      <c r="L253" s="470"/>
      <c r="M253" s="470"/>
      <c r="N253" s="470"/>
      <c r="O253" s="470"/>
      <c r="P253" s="470"/>
      <c r="Q253" s="470"/>
      <c r="R253" s="470"/>
      <c r="S253" s="470"/>
      <c r="T253" s="470"/>
    </row>
    <row r="254" spans="1:20" s="191" customFormat="1" x14ac:dyDescent="0.7">
      <c r="A254" s="234"/>
      <c r="C254" s="368"/>
      <c r="D254" s="234"/>
      <c r="J254" s="563"/>
      <c r="K254" s="470"/>
      <c r="L254" s="470"/>
      <c r="M254" s="470"/>
      <c r="N254" s="470"/>
      <c r="O254" s="470"/>
      <c r="P254" s="470"/>
      <c r="Q254" s="470"/>
      <c r="R254" s="470"/>
      <c r="S254" s="470"/>
      <c r="T254" s="470"/>
    </row>
    <row r="255" spans="1:20" s="191" customFormat="1" x14ac:dyDescent="0.7">
      <c r="A255" s="234"/>
      <c r="C255" s="368"/>
      <c r="D255" s="234"/>
      <c r="J255" s="563"/>
      <c r="K255" s="470"/>
      <c r="L255" s="470"/>
      <c r="M255" s="470"/>
      <c r="N255" s="470"/>
      <c r="O255" s="470"/>
      <c r="P255" s="470"/>
      <c r="Q255" s="470"/>
      <c r="R255" s="470"/>
      <c r="S255" s="470"/>
      <c r="T255" s="470"/>
    </row>
    <row r="256" spans="1:20" s="191" customFormat="1" x14ac:dyDescent="0.7">
      <c r="A256" s="234"/>
      <c r="C256" s="368"/>
      <c r="D256" s="234"/>
      <c r="J256" s="563"/>
      <c r="K256" s="470"/>
      <c r="L256" s="470"/>
      <c r="M256" s="470"/>
      <c r="N256" s="470"/>
      <c r="O256" s="470"/>
      <c r="P256" s="470"/>
      <c r="Q256" s="470"/>
      <c r="R256" s="470"/>
      <c r="S256" s="470"/>
      <c r="T256" s="470"/>
    </row>
    <row r="257" spans="1:20" s="191" customFormat="1" x14ac:dyDescent="0.7">
      <c r="A257" s="234"/>
      <c r="C257" s="368"/>
      <c r="D257" s="234"/>
      <c r="J257" s="563"/>
      <c r="K257" s="470"/>
      <c r="L257" s="470"/>
      <c r="M257" s="470"/>
      <c r="N257" s="470"/>
      <c r="O257" s="470"/>
      <c r="P257" s="470"/>
      <c r="Q257" s="470"/>
      <c r="R257" s="470"/>
      <c r="S257" s="470"/>
      <c r="T257" s="470"/>
    </row>
    <row r="258" spans="1:20" s="191" customFormat="1" x14ac:dyDescent="0.7">
      <c r="A258" s="234"/>
      <c r="C258" s="368"/>
      <c r="D258" s="234"/>
      <c r="J258" s="563"/>
      <c r="K258" s="470"/>
      <c r="L258" s="470"/>
      <c r="M258" s="470"/>
      <c r="N258" s="470"/>
      <c r="O258" s="470"/>
      <c r="P258" s="470"/>
      <c r="Q258" s="470"/>
      <c r="R258" s="470"/>
      <c r="S258" s="470"/>
      <c r="T258" s="470"/>
    </row>
    <row r="259" spans="1:20" s="191" customFormat="1" x14ac:dyDescent="0.7">
      <c r="A259" s="234"/>
      <c r="C259" s="368"/>
      <c r="D259" s="234"/>
      <c r="J259" s="563"/>
      <c r="K259" s="470"/>
      <c r="L259" s="470"/>
      <c r="M259" s="470"/>
      <c r="N259" s="470"/>
      <c r="O259" s="470"/>
      <c r="P259" s="470"/>
      <c r="Q259" s="470"/>
      <c r="R259" s="470"/>
      <c r="S259" s="470"/>
      <c r="T259" s="470"/>
    </row>
    <row r="260" spans="1:20" s="191" customFormat="1" x14ac:dyDescent="0.7">
      <c r="A260" s="234"/>
      <c r="C260" s="368"/>
      <c r="D260" s="234"/>
      <c r="J260" s="563"/>
      <c r="K260" s="470"/>
      <c r="L260" s="470"/>
      <c r="M260" s="470"/>
      <c r="N260" s="470"/>
      <c r="O260" s="470"/>
      <c r="P260" s="470"/>
      <c r="Q260" s="470"/>
      <c r="R260" s="470"/>
      <c r="S260" s="470"/>
      <c r="T260" s="470"/>
    </row>
    <row r="261" spans="1:20" s="191" customFormat="1" x14ac:dyDescent="0.7">
      <c r="A261" s="234"/>
      <c r="C261" s="368"/>
      <c r="D261" s="234"/>
      <c r="J261" s="563"/>
      <c r="K261" s="470"/>
      <c r="L261" s="470"/>
      <c r="M261" s="470"/>
      <c r="N261" s="470"/>
      <c r="O261" s="470"/>
      <c r="P261" s="470"/>
      <c r="Q261" s="470"/>
      <c r="R261" s="470"/>
      <c r="S261" s="470"/>
      <c r="T261" s="470"/>
    </row>
    <row r="262" spans="1:20" s="191" customFormat="1" x14ac:dyDescent="0.7">
      <c r="A262" s="234"/>
      <c r="C262" s="368"/>
      <c r="D262" s="234"/>
      <c r="J262" s="563"/>
      <c r="K262" s="470"/>
      <c r="L262" s="470"/>
      <c r="M262" s="470"/>
      <c r="N262" s="470"/>
      <c r="O262" s="470"/>
      <c r="P262" s="470"/>
      <c r="Q262" s="470"/>
      <c r="R262" s="470"/>
      <c r="S262" s="470"/>
      <c r="T262" s="470"/>
    </row>
    <row r="263" spans="1:20" s="191" customFormat="1" x14ac:dyDescent="0.7">
      <c r="A263" s="234"/>
      <c r="C263" s="368"/>
      <c r="D263" s="234"/>
      <c r="J263" s="563"/>
      <c r="K263" s="470"/>
      <c r="L263" s="470"/>
      <c r="M263" s="470"/>
      <c r="N263" s="470"/>
      <c r="O263" s="470"/>
      <c r="P263" s="470"/>
      <c r="Q263" s="470"/>
      <c r="R263" s="470"/>
      <c r="S263" s="470"/>
      <c r="T263" s="470"/>
    </row>
    <row r="264" spans="1:20" s="191" customFormat="1" x14ac:dyDescent="0.7">
      <c r="A264" s="234"/>
      <c r="C264" s="368"/>
      <c r="D264" s="234"/>
      <c r="J264" s="563"/>
      <c r="K264" s="470"/>
      <c r="L264" s="470"/>
      <c r="M264" s="470"/>
      <c r="N264" s="470"/>
      <c r="O264" s="470"/>
      <c r="P264" s="470"/>
      <c r="Q264" s="470"/>
      <c r="R264" s="470"/>
      <c r="S264" s="470"/>
      <c r="T264" s="470"/>
    </row>
    <row r="265" spans="1:20" s="191" customFormat="1" x14ac:dyDescent="0.7">
      <c r="A265" s="234"/>
      <c r="C265" s="368"/>
      <c r="D265" s="234"/>
      <c r="J265" s="563"/>
      <c r="K265" s="470"/>
      <c r="L265" s="470"/>
      <c r="M265" s="470"/>
      <c r="N265" s="470"/>
      <c r="O265" s="470"/>
      <c r="P265" s="470"/>
      <c r="Q265" s="470"/>
      <c r="R265" s="470"/>
      <c r="S265" s="470"/>
      <c r="T265" s="470"/>
    </row>
    <row r="266" spans="1:20" s="191" customFormat="1" x14ac:dyDescent="0.7">
      <c r="A266" s="234"/>
      <c r="C266" s="368"/>
      <c r="D266" s="234"/>
      <c r="J266" s="563"/>
      <c r="K266" s="470"/>
      <c r="L266" s="470"/>
      <c r="M266" s="470"/>
      <c r="N266" s="470"/>
      <c r="O266" s="470"/>
      <c r="P266" s="470"/>
      <c r="Q266" s="470"/>
      <c r="R266" s="470"/>
      <c r="S266" s="470"/>
      <c r="T266" s="470"/>
    </row>
    <row r="267" spans="1:20" s="191" customFormat="1" x14ac:dyDescent="0.7">
      <c r="A267" s="234"/>
      <c r="C267" s="368"/>
      <c r="D267" s="234"/>
      <c r="J267" s="563"/>
      <c r="K267" s="470"/>
      <c r="L267" s="470"/>
      <c r="M267" s="470"/>
      <c r="N267" s="470"/>
      <c r="O267" s="470"/>
      <c r="P267" s="470"/>
      <c r="Q267" s="470"/>
      <c r="R267" s="470"/>
      <c r="S267" s="470"/>
      <c r="T267" s="470"/>
    </row>
    <row r="268" spans="1:20" s="191" customFormat="1" x14ac:dyDescent="0.7">
      <c r="A268" s="234"/>
      <c r="C268" s="368"/>
      <c r="D268" s="234"/>
      <c r="J268" s="563"/>
      <c r="K268" s="470"/>
      <c r="L268" s="470"/>
      <c r="M268" s="470"/>
      <c r="N268" s="470"/>
      <c r="O268" s="470"/>
      <c r="P268" s="470"/>
      <c r="Q268" s="470"/>
      <c r="R268" s="470"/>
      <c r="S268" s="470"/>
      <c r="T268" s="470"/>
    </row>
    <row r="269" spans="1:20" s="191" customFormat="1" x14ac:dyDescent="0.7">
      <c r="A269" s="234"/>
      <c r="C269" s="368"/>
      <c r="D269" s="234"/>
      <c r="J269" s="563"/>
      <c r="K269" s="470"/>
      <c r="L269" s="470"/>
      <c r="M269" s="470"/>
      <c r="N269" s="470"/>
      <c r="O269" s="470"/>
      <c r="P269" s="470"/>
      <c r="Q269" s="470"/>
      <c r="R269" s="470"/>
      <c r="S269" s="470"/>
      <c r="T269" s="470"/>
    </row>
    <row r="270" spans="1:20" s="191" customFormat="1" x14ac:dyDescent="0.7">
      <c r="A270" s="234"/>
      <c r="C270" s="368"/>
      <c r="D270" s="234"/>
      <c r="J270" s="563"/>
      <c r="K270" s="470"/>
      <c r="L270" s="470"/>
      <c r="M270" s="470"/>
      <c r="N270" s="470"/>
      <c r="O270" s="470"/>
      <c r="P270" s="470"/>
      <c r="Q270" s="470"/>
      <c r="R270" s="470"/>
      <c r="S270" s="470"/>
      <c r="T270" s="470"/>
    </row>
    <row r="271" spans="1:20" s="191" customFormat="1" x14ac:dyDescent="0.7">
      <c r="A271" s="234"/>
      <c r="C271" s="368"/>
      <c r="D271" s="234"/>
      <c r="J271" s="563"/>
      <c r="K271" s="470"/>
      <c r="L271" s="470"/>
      <c r="M271" s="470"/>
      <c r="N271" s="470"/>
      <c r="O271" s="470"/>
      <c r="P271" s="470"/>
      <c r="Q271" s="470"/>
      <c r="R271" s="470"/>
      <c r="S271" s="470"/>
      <c r="T271" s="470"/>
    </row>
    <row r="272" spans="1:20" s="191" customFormat="1" x14ac:dyDescent="0.7">
      <c r="A272" s="234"/>
      <c r="C272" s="368"/>
      <c r="D272" s="234"/>
      <c r="J272" s="563"/>
      <c r="K272" s="470"/>
      <c r="L272" s="470"/>
      <c r="M272" s="470"/>
      <c r="N272" s="470"/>
      <c r="O272" s="470"/>
      <c r="P272" s="470"/>
      <c r="Q272" s="470"/>
      <c r="R272" s="470"/>
      <c r="S272" s="470"/>
      <c r="T272" s="470"/>
    </row>
    <row r="273" spans="1:20" s="191" customFormat="1" x14ac:dyDescent="0.7">
      <c r="A273" s="234"/>
      <c r="C273" s="368"/>
      <c r="D273" s="234"/>
      <c r="J273" s="563"/>
      <c r="K273" s="470"/>
      <c r="L273" s="470"/>
      <c r="M273" s="470"/>
      <c r="N273" s="470"/>
      <c r="O273" s="470"/>
      <c r="P273" s="470"/>
      <c r="Q273" s="470"/>
      <c r="R273" s="470"/>
      <c r="S273" s="470"/>
      <c r="T273" s="470"/>
    </row>
    <row r="274" spans="1:20" s="191" customFormat="1" x14ac:dyDescent="0.7">
      <c r="A274" s="235"/>
      <c r="B274" s="109"/>
      <c r="C274" s="369"/>
      <c r="D274" s="235"/>
      <c r="E274" s="109"/>
      <c r="F274" s="109"/>
      <c r="G274" s="109"/>
      <c r="H274" s="109"/>
      <c r="I274" s="109"/>
      <c r="J274" s="564"/>
      <c r="K274" s="470"/>
      <c r="L274" s="470"/>
      <c r="M274" s="470"/>
      <c r="N274" s="470"/>
      <c r="O274" s="470"/>
      <c r="P274" s="470"/>
      <c r="Q274" s="470"/>
      <c r="R274" s="470"/>
      <c r="S274" s="470"/>
      <c r="T274" s="470"/>
    </row>
    <row r="275" spans="1:20" s="191" customFormat="1" x14ac:dyDescent="0.7">
      <c r="A275" s="235"/>
      <c r="B275" s="109"/>
      <c r="C275" s="369"/>
      <c r="D275" s="235"/>
      <c r="E275" s="109"/>
      <c r="F275" s="109"/>
      <c r="G275" s="109"/>
      <c r="H275" s="109"/>
      <c r="I275" s="109"/>
      <c r="J275" s="564"/>
      <c r="K275" s="470"/>
      <c r="L275" s="470"/>
      <c r="M275" s="470"/>
      <c r="N275" s="470"/>
      <c r="O275" s="470"/>
      <c r="P275" s="470"/>
      <c r="Q275" s="470"/>
      <c r="R275" s="470"/>
      <c r="S275" s="470"/>
      <c r="T275" s="470"/>
    </row>
    <row r="276" spans="1:20" s="191" customFormat="1" x14ac:dyDescent="0.7">
      <c r="A276" s="235"/>
      <c r="B276" s="109"/>
      <c r="C276" s="369"/>
      <c r="D276" s="235"/>
      <c r="E276" s="109"/>
      <c r="F276" s="109"/>
      <c r="G276" s="109"/>
      <c r="H276" s="109"/>
      <c r="I276" s="109"/>
      <c r="J276" s="564"/>
      <c r="K276" s="470"/>
      <c r="L276" s="470"/>
      <c r="M276" s="470"/>
      <c r="N276" s="470"/>
      <c r="O276" s="470"/>
      <c r="P276" s="470"/>
      <c r="Q276" s="470"/>
      <c r="R276" s="470"/>
      <c r="S276" s="470"/>
      <c r="T276" s="470"/>
    </row>
    <row r="277" spans="1:20" s="191" customFormat="1" x14ac:dyDescent="0.7">
      <c r="A277" s="235"/>
      <c r="B277" s="109"/>
      <c r="C277" s="369"/>
      <c r="D277" s="235"/>
      <c r="E277" s="109"/>
      <c r="F277" s="109"/>
      <c r="G277" s="109"/>
      <c r="H277" s="109"/>
      <c r="I277" s="109"/>
      <c r="J277" s="564"/>
      <c r="K277" s="470"/>
      <c r="L277" s="470"/>
      <c r="M277" s="470"/>
      <c r="N277" s="470"/>
      <c r="O277" s="470"/>
      <c r="P277" s="470"/>
      <c r="Q277" s="470"/>
      <c r="R277" s="470"/>
      <c r="S277" s="470"/>
      <c r="T277" s="470"/>
    </row>
    <row r="278" spans="1:20" s="191" customFormat="1" x14ac:dyDescent="0.7">
      <c r="A278" s="235"/>
      <c r="B278" s="109"/>
      <c r="C278" s="369"/>
      <c r="D278" s="235"/>
      <c r="E278" s="109"/>
      <c r="F278" s="109"/>
      <c r="G278" s="109"/>
      <c r="H278" s="109"/>
      <c r="I278" s="109"/>
      <c r="J278" s="564"/>
      <c r="K278" s="470"/>
      <c r="L278" s="470"/>
      <c r="M278" s="470"/>
      <c r="N278" s="470"/>
      <c r="O278" s="470"/>
      <c r="P278" s="470"/>
      <c r="Q278" s="470"/>
      <c r="R278" s="470"/>
      <c r="S278" s="470"/>
      <c r="T278" s="470"/>
    </row>
    <row r="279" spans="1:20" s="191" customFormat="1" x14ac:dyDescent="0.7">
      <c r="A279" s="235"/>
      <c r="B279" s="109"/>
      <c r="C279" s="369"/>
      <c r="D279" s="235"/>
      <c r="E279" s="109"/>
      <c r="F279" s="109"/>
      <c r="G279" s="109"/>
      <c r="H279" s="109"/>
      <c r="I279" s="109"/>
      <c r="J279" s="564"/>
      <c r="K279" s="470"/>
      <c r="L279" s="470"/>
      <c r="M279" s="470"/>
      <c r="N279" s="470"/>
      <c r="O279" s="470"/>
      <c r="P279" s="470"/>
      <c r="Q279" s="470"/>
      <c r="R279" s="470"/>
      <c r="S279" s="470"/>
      <c r="T279" s="470"/>
    </row>
    <row r="280" spans="1:20" s="191" customFormat="1" x14ac:dyDescent="0.7">
      <c r="A280" s="235"/>
      <c r="B280" s="109"/>
      <c r="C280" s="369"/>
      <c r="D280" s="235"/>
      <c r="E280" s="109"/>
      <c r="F280" s="109"/>
      <c r="G280" s="109"/>
      <c r="H280" s="109"/>
      <c r="I280" s="109"/>
      <c r="J280" s="564"/>
      <c r="K280" s="470"/>
      <c r="L280" s="470"/>
      <c r="M280" s="470"/>
      <c r="N280" s="470"/>
      <c r="O280" s="470"/>
      <c r="P280" s="470"/>
      <c r="Q280" s="470"/>
      <c r="R280" s="470"/>
      <c r="S280" s="470"/>
      <c r="T280" s="470"/>
    </row>
    <row r="281" spans="1:20" s="191" customFormat="1" x14ac:dyDescent="0.7">
      <c r="A281" s="235"/>
      <c r="B281" s="109"/>
      <c r="C281" s="369"/>
      <c r="D281" s="235"/>
      <c r="E281" s="109"/>
      <c r="F281" s="109"/>
      <c r="G281" s="109"/>
      <c r="H281" s="109"/>
      <c r="I281" s="109"/>
      <c r="J281" s="564"/>
      <c r="K281" s="470"/>
      <c r="L281" s="470"/>
      <c r="M281" s="470"/>
      <c r="N281" s="470"/>
      <c r="O281" s="470"/>
      <c r="P281" s="470"/>
      <c r="Q281" s="470"/>
      <c r="R281" s="470"/>
      <c r="S281" s="470"/>
      <c r="T281" s="470"/>
    </row>
    <row r="282" spans="1:20" s="191" customFormat="1" x14ac:dyDescent="0.7">
      <c r="A282" s="235"/>
      <c r="B282" s="109"/>
      <c r="C282" s="369"/>
      <c r="D282" s="235"/>
      <c r="E282" s="109"/>
      <c r="F282" s="109"/>
      <c r="G282" s="109"/>
      <c r="H282" s="109"/>
      <c r="I282" s="109"/>
      <c r="J282" s="564"/>
      <c r="K282" s="470"/>
      <c r="L282" s="470"/>
      <c r="M282" s="470"/>
      <c r="N282" s="470"/>
      <c r="O282" s="470"/>
      <c r="P282" s="470"/>
      <c r="Q282" s="470"/>
      <c r="R282" s="470"/>
      <c r="S282" s="470"/>
      <c r="T282" s="470"/>
    </row>
    <row r="283" spans="1:20" s="191" customFormat="1" x14ac:dyDescent="0.7">
      <c r="A283" s="235"/>
      <c r="B283" s="109"/>
      <c r="C283" s="369"/>
      <c r="D283" s="235"/>
      <c r="E283" s="109"/>
      <c r="F283" s="109"/>
      <c r="G283" s="109"/>
      <c r="H283" s="109"/>
      <c r="I283" s="109"/>
      <c r="J283" s="564"/>
      <c r="K283" s="470"/>
      <c r="L283" s="470"/>
      <c r="M283" s="470"/>
      <c r="N283" s="470"/>
      <c r="O283" s="470"/>
      <c r="P283" s="470"/>
      <c r="Q283" s="470"/>
      <c r="R283" s="470"/>
      <c r="S283" s="470"/>
      <c r="T283" s="470"/>
    </row>
    <row r="284" spans="1:20" s="191" customFormat="1" x14ac:dyDescent="0.7">
      <c r="A284" s="235"/>
      <c r="B284" s="109"/>
      <c r="C284" s="369"/>
      <c r="D284" s="235"/>
      <c r="E284" s="109"/>
      <c r="F284" s="109"/>
      <c r="G284" s="109"/>
      <c r="H284" s="109"/>
      <c r="I284" s="109"/>
      <c r="J284" s="564"/>
      <c r="K284" s="470"/>
      <c r="L284" s="470"/>
      <c r="M284" s="470"/>
      <c r="N284" s="470"/>
      <c r="O284" s="470"/>
      <c r="P284" s="470"/>
      <c r="Q284" s="470"/>
      <c r="R284" s="470"/>
      <c r="S284" s="470"/>
      <c r="T284" s="470"/>
    </row>
    <row r="285" spans="1:20" s="191" customFormat="1" x14ac:dyDescent="0.7">
      <c r="A285" s="235"/>
      <c r="B285" s="109"/>
      <c r="C285" s="369"/>
      <c r="D285" s="235"/>
      <c r="E285" s="109"/>
      <c r="F285" s="109"/>
      <c r="G285" s="109"/>
      <c r="H285" s="109"/>
      <c r="I285" s="109"/>
      <c r="J285" s="564"/>
      <c r="K285" s="470"/>
      <c r="L285" s="470"/>
      <c r="M285" s="470"/>
      <c r="N285" s="470"/>
      <c r="O285" s="470"/>
      <c r="P285" s="470"/>
      <c r="Q285" s="470"/>
      <c r="R285" s="470"/>
      <c r="S285" s="470"/>
      <c r="T285" s="470"/>
    </row>
  </sheetData>
  <mergeCells count="13">
    <mergeCell ref="A5:D5"/>
    <mergeCell ref="A1:J1"/>
    <mergeCell ref="A2:E2"/>
    <mergeCell ref="A3:E3"/>
    <mergeCell ref="A4:F4"/>
    <mergeCell ref="G4:I4"/>
    <mergeCell ref="J8:J9"/>
    <mergeCell ref="A6:B6"/>
    <mergeCell ref="A8:A9"/>
    <mergeCell ref="B8:B9"/>
    <mergeCell ref="C8:D8"/>
    <mergeCell ref="E8:F8"/>
    <mergeCell ref="G8:H8"/>
  </mergeCells>
  <hyperlinks>
    <hyperlink ref="K37" r:id="rId1"/>
  </hyperlinks>
  <pageMargins left="0.59055118110236204" right="0.196850393700787" top="0.55118110236220497" bottom="0.47244094488188998" header="0.43307086614173201" footer="0.27559055118110198"/>
  <pageSetup paperSize="9" scale="48" orientation="landscape" r:id="rId2"/>
  <headerFooter alignWithMargins="0">
    <oddHeader>&amp;Rปร.4/ &amp;P</oddHeader>
  </headerFooter>
  <rowBreaks count="10" manualBreakCount="10">
    <brk id="36" max="19" man="1"/>
    <brk id="62" max="16383" man="1"/>
    <brk id="89" max="19" man="1"/>
    <brk id="116" max="16383" man="1"/>
    <brk id="142" max="16383" man="1"/>
    <brk id="167" max="16383" man="1"/>
    <brk id="196" max="16383" man="1"/>
    <brk id="224" max="16383" man="1"/>
    <brk id="242" max="16383" man="1"/>
    <brk id="2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75"/>
  <sheetViews>
    <sheetView topLeftCell="A13" zoomScale="70" zoomScaleNormal="70" zoomScalePageLayoutView="110" workbookViewId="0">
      <selection activeCell="B27" sqref="B27"/>
    </sheetView>
  </sheetViews>
  <sheetFormatPr defaultColWidth="9.140625" defaultRowHeight="30.75" x14ac:dyDescent="0.7"/>
  <cols>
    <col min="1" max="1" width="12.85546875" style="235" customWidth="1"/>
    <col min="2" max="2" width="108.42578125" style="109" customWidth="1"/>
    <col min="3" max="3" width="23.28515625" style="369" customWidth="1"/>
    <col min="4" max="4" width="14.42578125" style="235" customWidth="1"/>
    <col min="5" max="5" width="21" style="109" customWidth="1"/>
    <col min="6" max="6" width="32.42578125" style="109" bestFit="1" customWidth="1"/>
    <col min="7" max="7" width="24.5703125" style="109" customWidth="1"/>
    <col min="8" max="8" width="29.85546875" style="109" bestFit="1" customWidth="1"/>
    <col min="9" max="9" width="35.85546875" style="109" customWidth="1"/>
    <col min="10" max="10" width="24.7109375" style="109" customWidth="1"/>
    <col min="11" max="11" width="15.42578125" style="109" bestFit="1" customWidth="1"/>
    <col min="12" max="12" width="6.7109375" style="109" customWidth="1"/>
    <col min="13" max="13" width="23.140625" style="109" bestFit="1" customWidth="1"/>
    <col min="14" max="14" width="15" style="109" bestFit="1" customWidth="1"/>
    <col min="15" max="15" width="25" style="109" bestFit="1" customWidth="1"/>
    <col min="16" max="16" width="12.7109375" style="109" bestFit="1" customWidth="1"/>
    <col min="17" max="16384" width="9.140625" style="109"/>
  </cols>
  <sheetData>
    <row r="1" spans="1:17" x14ac:dyDescent="0.7">
      <c r="A1" s="648" t="s">
        <v>19</v>
      </c>
      <c r="B1" s="648"/>
      <c r="C1" s="648"/>
      <c r="D1" s="648"/>
      <c r="E1" s="648"/>
      <c r="F1" s="648"/>
      <c r="G1" s="648"/>
      <c r="H1" s="648"/>
      <c r="I1" s="648"/>
      <c r="J1" s="648"/>
      <c r="K1" s="108"/>
      <c r="L1" s="108"/>
      <c r="M1" s="108"/>
      <c r="N1" s="108"/>
    </row>
    <row r="2" spans="1:17" x14ac:dyDescent="0.7">
      <c r="A2" s="651" t="s">
        <v>145</v>
      </c>
      <c r="B2" s="651"/>
      <c r="C2" s="651"/>
      <c r="D2" s="651"/>
      <c r="E2" s="651"/>
      <c r="F2" s="110"/>
      <c r="G2" s="111"/>
      <c r="H2" s="112"/>
      <c r="I2" s="112"/>
      <c r="J2" s="111" t="s">
        <v>26</v>
      </c>
      <c r="K2" s="108"/>
      <c r="L2" s="108"/>
      <c r="M2" s="108"/>
      <c r="N2" s="108"/>
    </row>
    <row r="3" spans="1:17" x14ac:dyDescent="0.7">
      <c r="A3" s="645" t="s">
        <v>146</v>
      </c>
      <c r="B3" s="645"/>
      <c r="C3" s="645"/>
      <c r="D3" s="645"/>
      <c r="E3" s="645"/>
      <c r="F3" s="114"/>
      <c r="G3" s="114"/>
      <c r="H3" s="114"/>
      <c r="I3" s="113"/>
      <c r="J3" s="113"/>
      <c r="K3" s="108"/>
      <c r="L3" s="108"/>
      <c r="M3" s="108"/>
      <c r="N3" s="108"/>
    </row>
    <row r="4" spans="1:17" x14ac:dyDescent="0.7">
      <c r="A4" s="645" t="s">
        <v>147</v>
      </c>
      <c r="B4" s="645"/>
      <c r="C4" s="645"/>
      <c r="D4" s="645"/>
      <c r="E4" s="645"/>
      <c r="F4" s="645"/>
      <c r="G4" s="644" t="s">
        <v>18</v>
      </c>
      <c r="H4" s="644"/>
      <c r="I4" s="644"/>
      <c r="J4" s="113"/>
      <c r="K4" s="108"/>
      <c r="L4" s="108"/>
      <c r="M4" s="108"/>
      <c r="N4" s="108"/>
    </row>
    <row r="5" spans="1:17" x14ac:dyDescent="0.7">
      <c r="A5" s="644" t="s">
        <v>148</v>
      </c>
      <c r="B5" s="644"/>
      <c r="C5" s="644"/>
      <c r="D5" s="644"/>
      <c r="E5" s="113"/>
      <c r="F5" s="113"/>
      <c r="G5" s="114"/>
      <c r="H5" s="114"/>
      <c r="I5" s="113"/>
      <c r="J5" s="113"/>
      <c r="K5" s="116"/>
      <c r="L5" s="116"/>
      <c r="M5" s="116" t="s">
        <v>115</v>
      </c>
      <c r="N5" s="116" t="s">
        <v>111</v>
      </c>
      <c r="O5" s="117" t="e">
        <f>+#REF!</f>
        <v>#REF!</v>
      </c>
    </row>
    <row r="6" spans="1:17" x14ac:dyDescent="0.7">
      <c r="A6" s="644" t="s">
        <v>157</v>
      </c>
      <c r="B6" s="645"/>
      <c r="C6" s="353"/>
      <c r="D6" s="113"/>
      <c r="E6" s="115" t="s">
        <v>375</v>
      </c>
      <c r="F6" s="108"/>
      <c r="G6" s="113"/>
      <c r="H6" s="113"/>
      <c r="I6" s="113"/>
      <c r="J6" s="113"/>
      <c r="K6" s="118"/>
      <c r="M6" s="109" t="s">
        <v>114</v>
      </c>
      <c r="N6" s="108" t="s">
        <v>110</v>
      </c>
      <c r="O6" s="119">
        <v>17335590.940000001</v>
      </c>
    </row>
    <row r="7" spans="1:17" x14ac:dyDescent="0.7">
      <c r="A7" s="122"/>
      <c r="B7" s="120"/>
      <c r="C7" s="370"/>
      <c r="D7" s="120"/>
      <c r="E7" s="120"/>
      <c r="F7" s="120"/>
      <c r="G7" s="121"/>
      <c r="H7" s="122"/>
      <c r="I7" s="122"/>
      <c r="J7" s="123" t="s">
        <v>16</v>
      </c>
      <c r="K7" s="118"/>
      <c r="N7" s="108" t="s">
        <v>112</v>
      </c>
      <c r="O7" s="124" t="e">
        <f>+O5-O6</f>
        <v>#REF!</v>
      </c>
    </row>
    <row r="8" spans="1:17" s="127" customFormat="1" x14ac:dyDescent="0.7">
      <c r="A8" s="646" t="s">
        <v>0</v>
      </c>
      <c r="B8" s="646" t="s">
        <v>26</v>
      </c>
      <c r="C8" s="649" t="s">
        <v>3</v>
      </c>
      <c r="D8" s="650"/>
      <c r="E8" s="649" t="s">
        <v>4</v>
      </c>
      <c r="F8" s="650"/>
      <c r="G8" s="649" t="s">
        <v>5</v>
      </c>
      <c r="H8" s="650"/>
      <c r="I8" s="125" t="s">
        <v>6</v>
      </c>
      <c r="J8" s="646" t="s">
        <v>13</v>
      </c>
      <c r="K8" s="473"/>
      <c r="N8" s="128"/>
    </row>
    <row r="9" spans="1:17" s="127" customFormat="1" x14ac:dyDescent="0.7">
      <c r="A9" s="647"/>
      <c r="B9" s="647"/>
      <c r="C9" s="354" t="s">
        <v>7</v>
      </c>
      <c r="D9" s="125" t="s">
        <v>8</v>
      </c>
      <c r="E9" s="125" t="s">
        <v>9</v>
      </c>
      <c r="F9" s="125" t="s">
        <v>2</v>
      </c>
      <c r="G9" s="125" t="s">
        <v>9</v>
      </c>
      <c r="H9" s="125" t="s">
        <v>2</v>
      </c>
      <c r="I9" s="125" t="s">
        <v>10</v>
      </c>
      <c r="J9" s="647"/>
      <c r="K9" s="128"/>
      <c r="L9" s="129"/>
      <c r="M9" s="130"/>
      <c r="N9" s="128"/>
    </row>
    <row r="10" spans="1:17" x14ac:dyDescent="0.7">
      <c r="A10" s="176">
        <v>1</v>
      </c>
      <c r="B10" s="131" t="s">
        <v>452</v>
      </c>
      <c r="C10" s="355"/>
      <c r="D10" s="132"/>
      <c r="E10" s="133"/>
      <c r="F10" s="134"/>
      <c r="G10" s="133"/>
      <c r="H10" s="134"/>
      <c r="I10" s="134"/>
      <c r="J10" s="135"/>
      <c r="K10" s="108"/>
      <c r="L10" s="108"/>
      <c r="M10" s="108" t="s">
        <v>70</v>
      </c>
      <c r="N10" s="108"/>
    </row>
    <row r="11" spans="1:17" s="147" customFormat="1" x14ac:dyDescent="0.7">
      <c r="A11" s="263">
        <v>1.1000000000000001</v>
      </c>
      <c r="B11" s="136" t="s">
        <v>104</v>
      </c>
      <c r="C11" s="137">
        <f>+M11</f>
        <v>16000</v>
      </c>
      <c r="D11" s="138" t="s">
        <v>25</v>
      </c>
      <c r="E11" s="139"/>
      <c r="F11" s="140">
        <f>C11*E11</f>
        <v>0</v>
      </c>
      <c r="G11" s="139">
        <v>15</v>
      </c>
      <c r="H11" s="137">
        <f>C11*G11</f>
        <v>240000</v>
      </c>
      <c r="I11" s="137">
        <f>SUM(F11,H11)</f>
        <v>240000</v>
      </c>
      <c r="J11" s="141"/>
      <c r="K11" s="142"/>
      <c r="L11" s="143" t="s">
        <v>68</v>
      </c>
      <c r="M11" s="144">
        <v>16000</v>
      </c>
      <c r="N11" s="145" t="s">
        <v>69</v>
      </c>
      <c r="O11" s="146" t="s">
        <v>92</v>
      </c>
      <c r="Q11" s="147" t="s">
        <v>26</v>
      </c>
    </row>
    <row r="12" spans="1:17" s="147" customFormat="1" x14ac:dyDescent="0.7">
      <c r="A12" s="263">
        <v>1.2</v>
      </c>
      <c r="B12" s="136" t="s">
        <v>103</v>
      </c>
      <c r="C12" s="148">
        <v>1</v>
      </c>
      <c r="D12" s="138" t="s">
        <v>43</v>
      </c>
      <c r="E12" s="139"/>
      <c r="F12" s="149">
        <f>C12*E12</f>
        <v>0</v>
      </c>
      <c r="G12" s="139">
        <v>100000</v>
      </c>
      <c r="H12" s="148">
        <f>C12*G12</f>
        <v>100000</v>
      </c>
      <c r="I12" s="148">
        <f>SUM(F12,H12)</f>
        <v>100000</v>
      </c>
      <c r="J12" s="141"/>
      <c r="K12" s="142"/>
      <c r="M12" s="150"/>
      <c r="N12" s="142"/>
      <c r="O12" s="151"/>
    </row>
    <row r="13" spans="1:17" s="160" customFormat="1" x14ac:dyDescent="0.7">
      <c r="A13" s="263">
        <v>1.8</v>
      </c>
      <c r="B13" s="152" t="s">
        <v>106</v>
      </c>
      <c r="C13" s="149">
        <v>1</v>
      </c>
      <c r="D13" s="138" t="s">
        <v>43</v>
      </c>
      <c r="E13" s="139"/>
      <c r="F13" s="149">
        <f>C13*E13</f>
        <v>0</v>
      </c>
      <c r="G13" s="139">
        <v>25440.44</v>
      </c>
      <c r="H13" s="276">
        <f>C13*G13</f>
        <v>25440.44</v>
      </c>
      <c r="I13" s="158">
        <f>SUM(F13,H13)</f>
        <v>25440.44</v>
      </c>
      <c r="J13" s="153"/>
      <c r="K13" s="159"/>
      <c r="M13" s="161"/>
      <c r="N13" s="159"/>
      <c r="O13" s="159"/>
    </row>
    <row r="14" spans="1:17" s="160" customFormat="1" x14ac:dyDescent="0.7">
      <c r="A14" s="263">
        <v>1.9</v>
      </c>
      <c r="B14" s="152" t="s">
        <v>105</v>
      </c>
      <c r="C14" s="149">
        <v>1</v>
      </c>
      <c r="D14" s="138" t="s">
        <v>43</v>
      </c>
      <c r="E14" s="139"/>
      <c r="F14" s="149">
        <f>C14*E14</f>
        <v>0</v>
      </c>
      <c r="G14" s="139">
        <v>25000</v>
      </c>
      <c r="H14" s="149">
        <f>C14*G14</f>
        <v>25000</v>
      </c>
      <c r="I14" s="149">
        <f>SUM(F14,H14)</f>
        <v>25000</v>
      </c>
      <c r="J14" s="153"/>
      <c r="K14" s="159"/>
      <c r="M14" s="161"/>
      <c r="N14" s="159"/>
      <c r="O14" s="159"/>
    </row>
    <row r="15" spans="1:17" s="170" customFormat="1" x14ac:dyDescent="0.7">
      <c r="A15" s="162"/>
      <c r="B15" s="163" t="s">
        <v>454</v>
      </c>
      <c r="C15" s="356">
        <f>SUM(C11:C14)</f>
        <v>16003</v>
      </c>
      <c r="D15" s="164"/>
      <c r="E15" s="165"/>
      <c r="F15" s="356">
        <f>SUM(F11:F14)</f>
        <v>0</v>
      </c>
      <c r="G15" s="166"/>
      <c r="H15" s="356">
        <f>SUM(H11:H14)</f>
        <v>390440.44</v>
      </c>
      <c r="I15" s="356">
        <f>SUM(I11:I14)</f>
        <v>390440.44</v>
      </c>
      <c r="J15" s="167"/>
      <c r="K15" s="168"/>
      <c r="L15" s="109" t="s">
        <v>68</v>
      </c>
      <c r="M15" s="154" t="e">
        <f>+#REF!-M16-M18</f>
        <v>#REF!</v>
      </c>
      <c r="N15" s="108" t="s">
        <v>69</v>
      </c>
      <c r="O15" s="169" t="s">
        <v>94</v>
      </c>
    </row>
    <row r="16" spans="1:17" x14ac:dyDescent="0.7">
      <c r="A16" s="176">
        <v>2</v>
      </c>
      <c r="B16" s="131" t="s">
        <v>453</v>
      </c>
      <c r="C16" s="355"/>
      <c r="D16" s="132"/>
      <c r="E16" s="133"/>
      <c r="F16" s="134"/>
      <c r="G16" s="133"/>
      <c r="H16" s="134"/>
      <c r="I16" s="134"/>
      <c r="J16" s="135"/>
      <c r="K16" s="108"/>
      <c r="L16" s="108"/>
      <c r="M16" s="108" t="s">
        <v>70</v>
      </c>
      <c r="N16" s="108"/>
    </row>
    <row r="17" spans="1:16" s="503" customFormat="1" x14ac:dyDescent="0.7">
      <c r="A17" s="497">
        <v>2.1</v>
      </c>
      <c r="B17" s="498" t="s">
        <v>455</v>
      </c>
      <c r="C17" s="148">
        <v>10346</v>
      </c>
      <c r="D17" s="138" t="s">
        <v>25</v>
      </c>
      <c r="E17" s="495"/>
      <c r="F17" s="149"/>
      <c r="G17" s="495">
        <v>3.25</v>
      </c>
      <c r="H17" s="137">
        <f>C17*G17</f>
        <v>33624.5</v>
      </c>
      <c r="I17" s="137">
        <f t="shared" ref="I17:I22" si="0">SUM(F17,H17)</f>
        <v>33624.5</v>
      </c>
      <c r="J17" s="496"/>
      <c r="K17" s="502"/>
      <c r="L17" s="502"/>
      <c r="M17" s="502"/>
      <c r="N17" s="502"/>
    </row>
    <row r="18" spans="1:16" s="147" customFormat="1" x14ac:dyDescent="0.7">
      <c r="A18" s="263">
        <v>1.3</v>
      </c>
      <c r="B18" s="136" t="s">
        <v>354</v>
      </c>
      <c r="C18" s="499">
        <v>10346</v>
      </c>
      <c r="D18" s="138" t="s">
        <v>25</v>
      </c>
      <c r="E18" s="139">
        <v>3.25</v>
      </c>
      <c r="F18" s="140">
        <f t="shared" ref="F18:F22" si="1">C18*E18</f>
        <v>33624.5</v>
      </c>
      <c r="G18" s="139">
        <v>3.5</v>
      </c>
      <c r="H18" s="137">
        <f>C18*G18</f>
        <v>36211</v>
      </c>
      <c r="I18" s="137">
        <f t="shared" si="0"/>
        <v>69835.5</v>
      </c>
      <c r="J18" s="141"/>
      <c r="K18" s="142"/>
      <c r="L18" s="143"/>
      <c r="M18" s="144"/>
      <c r="N18" s="145"/>
      <c r="O18" s="146"/>
    </row>
    <row r="19" spans="1:16" s="147" customFormat="1" x14ac:dyDescent="0.7">
      <c r="A19" s="263"/>
      <c r="B19" s="136" t="s">
        <v>451</v>
      </c>
      <c r="C19" s="499">
        <f>C18*0.1</f>
        <v>1034.6000000000001</v>
      </c>
      <c r="D19" s="484" t="s">
        <v>24</v>
      </c>
      <c r="E19" s="139">
        <v>492</v>
      </c>
      <c r="F19" s="140">
        <f t="shared" si="1"/>
        <v>509023.20000000007</v>
      </c>
      <c r="G19" s="450">
        <v>99</v>
      </c>
      <c r="H19" s="137">
        <f>C19*G19</f>
        <v>102425.40000000001</v>
      </c>
      <c r="I19" s="137">
        <f t="shared" si="0"/>
        <v>611448.60000000009</v>
      </c>
      <c r="J19" s="141"/>
      <c r="K19" s="142"/>
      <c r="L19" s="143"/>
      <c r="M19" s="144"/>
      <c r="N19" s="145"/>
      <c r="O19" s="146"/>
    </row>
    <row r="20" spans="1:16" s="200" customFormat="1" x14ac:dyDescent="0.7">
      <c r="A20" s="500">
        <v>1.4</v>
      </c>
      <c r="B20" s="482" t="s">
        <v>102</v>
      </c>
      <c r="C20" s="483"/>
      <c r="D20" s="484" t="s">
        <v>24</v>
      </c>
      <c r="E20" s="485">
        <v>220</v>
      </c>
      <c r="F20" s="483">
        <f t="shared" si="1"/>
        <v>0</v>
      </c>
      <c r="G20" s="485">
        <v>100</v>
      </c>
      <c r="H20" s="483">
        <f t="shared" ref="H20:H22" si="2">C20*G20</f>
        <v>0</v>
      </c>
      <c r="I20" s="483">
        <f t="shared" si="0"/>
        <v>0</v>
      </c>
      <c r="J20" s="343"/>
      <c r="K20" s="157"/>
      <c r="L20" s="200" t="s">
        <v>68</v>
      </c>
      <c r="M20" s="501">
        <v>941</v>
      </c>
      <c r="N20" s="157" t="s">
        <v>69</v>
      </c>
      <c r="O20" s="200" t="s">
        <v>95</v>
      </c>
    </row>
    <row r="21" spans="1:16" x14ac:dyDescent="0.7">
      <c r="A21" s="263">
        <v>1.5</v>
      </c>
      <c r="B21" s="152" t="s">
        <v>88</v>
      </c>
      <c r="C21" s="140">
        <f>+M24*0.05</f>
        <v>331.65000000000003</v>
      </c>
      <c r="D21" s="138" t="s">
        <v>24</v>
      </c>
      <c r="E21" s="139">
        <v>450</v>
      </c>
      <c r="F21" s="140">
        <f t="shared" si="1"/>
        <v>149242.50000000003</v>
      </c>
      <c r="G21" s="139">
        <v>50</v>
      </c>
      <c r="H21" s="140">
        <f t="shared" si="2"/>
        <v>16582.5</v>
      </c>
      <c r="I21" s="140">
        <f t="shared" si="0"/>
        <v>165825.00000000003</v>
      </c>
      <c r="J21" s="240"/>
      <c r="K21" s="108"/>
      <c r="L21" s="109" t="s">
        <v>68</v>
      </c>
      <c r="M21" s="156">
        <f>16000-M20</f>
        <v>15059</v>
      </c>
      <c r="N21" s="108" t="s">
        <v>69</v>
      </c>
      <c r="O21" s="157" t="s">
        <v>93</v>
      </c>
    </row>
    <row r="22" spans="1:16" s="191" customFormat="1" x14ac:dyDescent="0.7">
      <c r="A22" s="278">
        <v>1.6</v>
      </c>
      <c r="B22" s="182" t="s">
        <v>301</v>
      </c>
      <c r="C22" s="186">
        <v>10346</v>
      </c>
      <c r="D22" s="187" t="s">
        <v>25</v>
      </c>
      <c r="E22" s="188">
        <v>42</v>
      </c>
      <c r="F22" s="186">
        <f t="shared" si="1"/>
        <v>434532</v>
      </c>
      <c r="G22" s="188">
        <v>10</v>
      </c>
      <c r="H22" s="186">
        <f t="shared" si="2"/>
        <v>103460</v>
      </c>
      <c r="I22" s="186">
        <f t="shared" si="0"/>
        <v>537992</v>
      </c>
      <c r="J22" s="240"/>
      <c r="K22" s="190"/>
      <c r="L22" s="191" t="s">
        <v>68</v>
      </c>
      <c r="M22" s="279">
        <v>5800</v>
      </c>
      <c r="N22" s="190" t="s">
        <v>69</v>
      </c>
      <c r="O22" s="280" t="s">
        <v>72</v>
      </c>
    </row>
    <row r="23" spans="1:16" x14ac:dyDescent="0.7">
      <c r="A23" s="263"/>
      <c r="B23" s="152"/>
      <c r="C23" s="140"/>
      <c r="D23" s="138"/>
      <c r="E23" s="139"/>
      <c r="F23" s="140"/>
      <c r="G23" s="139"/>
      <c r="H23" s="140"/>
      <c r="I23" s="140"/>
      <c r="J23" s="153"/>
      <c r="K23" s="108"/>
      <c r="L23" s="109" t="s">
        <v>68</v>
      </c>
      <c r="M23" s="156">
        <f>+M21-M22</f>
        <v>9259</v>
      </c>
      <c r="N23" s="108" t="s">
        <v>69</v>
      </c>
      <c r="O23" s="157" t="s">
        <v>71</v>
      </c>
    </row>
    <row r="24" spans="1:16" s="170" customFormat="1" x14ac:dyDescent="0.7">
      <c r="A24" s="162"/>
      <c r="B24" s="163" t="s">
        <v>74</v>
      </c>
      <c r="C24" s="356"/>
      <c r="D24" s="164"/>
      <c r="E24" s="165"/>
      <c r="F24" s="166">
        <f>SUM(F11:F23)</f>
        <v>1126422.2000000002</v>
      </c>
      <c r="G24" s="166"/>
      <c r="H24" s="166">
        <f>SUM(H11:H23)</f>
        <v>1073184.28</v>
      </c>
      <c r="I24" s="166">
        <f>SUM(I11:I23)</f>
        <v>2199606.48</v>
      </c>
      <c r="J24" s="167"/>
      <c r="K24" s="168"/>
      <c r="L24" s="109" t="s">
        <v>68</v>
      </c>
      <c r="M24" s="154">
        <f>+M23-M25-M26</f>
        <v>6633</v>
      </c>
      <c r="N24" s="108" t="s">
        <v>69</v>
      </c>
      <c r="O24" s="169" t="s">
        <v>94</v>
      </c>
    </row>
    <row r="25" spans="1:16" x14ac:dyDescent="0.7">
      <c r="A25" s="176">
        <v>3</v>
      </c>
      <c r="B25" s="131" t="s">
        <v>37</v>
      </c>
      <c r="C25" s="355"/>
      <c r="D25" s="132"/>
      <c r="E25" s="133"/>
      <c r="F25" s="134"/>
      <c r="G25" s="133"/>
      <c r="H25" s="134"/>
      <c r="I25" s="134"/>
      <c r="J25" s="135"/>
      <c r="K25" s="108"/>
      <c r="L25" s="109" t="s">
        <v>68</v>
      </c>
      <c r="M25" s="171">
        <v>1313</v>
      </c>
      <c r="N25" s="108" t="s">
        <v>69</v>
      </c>
      <c r="O25" s="169" t="s">
        <v>87</v>
      </c>
    </row>
    <row r="26" spans="1:16" s="200" customFormat="1" x14ac:dyDescent="0.7">
      <c r="A26" s="481">
        <v>2.1</v>
      </c>
      <c r="B26" s="482" t="s">
        <v>107</v>
      </c>
      <c r="C26" s="483">
        <v>1200</v>
      </c>
      <c r="D26" s="484" t="s">
        <v>24</v>
      </c>
      <c r="E26" s="485">
        <v>550</v>
      </c>
      <c r="F26" s="483">
        <f t="shared" ref="F26:F31" si="3">C26*E26</f>
        <v>660000</v>
      </c>
      <c r="G26" s="485">
        <v>150</v>
      </c>
      <c r="H26" s="483">
        <f t="shared" ref="H26:H32" si="4">C26*G26</f>
        <v>180000</v>
      </c>
      <c r="I26" s="483">
        <f t="shared" ref="I26:I31" si="5">SUM(F26,H26)</f>
        <v>840000</v>
      </c>
      <c r="J26" s="238"/>
      <c r="K26" s="157"/>
      <c r="L26" s="200" t="s">
        <v>68</v>
      </c>
      <c r="M26" s="486">
        <v>1313</v>
      </c>
      <c r="N26" s="157" t="s">
        <v>69</v>
      </c>
      <c r="O26" s="487" t="s">
        <v>87</v>
      </c>
      <c r="P26" s="206"/>
    </row>
    <row r="27" spans="1:16" x14ac:dyDescent="0.7">
      <c r="A27" s="264"/>
      <c r="B27" s="152" t="s">
        <v>451</v>
      </c>
      <c r="C27" s="140"/>
      <c r="D27" s="138"/>
      <c r="E27" s="139"/>
      <c r="F27" s="140"/>
      <c r="G27" s="139"/>
      <c r="H27" s="140"/>
      <c r="I27" s="140"/>
      <c r="J27" s="153"/>
      <c r="K27" s="108"/>
      <c r="M27" s="171"/>
      <c r="N27" s="108"/>
      <c r="O27" s="169"/>
    </row>
    <row r="28" spans="1:16" x14ac:dyDescent="0.7">
      <c r="A28" s="264">
        <v>2.2000000000000002</v>
      </c>
      <c r="B28" s="152" t="s">
        <v>98</v>
      </c>
      <c r="C28" s="140">
        <v>290</v>
      </c>
      <c r="D28" s="138" t="s">
        <v>24</v>
      </c>
      <c r="E28" s="139">
        <v>550</v>
      </c>
      <c r="F28" s="140">
        <f t="shared" si="3"/>
        <v>159500</v>
      </c>
      <c r="G28" s="139">
        <v>50</v>
      </c>
      <c r="H28" s="140">
        <f t="shared" si="4"/>
        <v>14500</v>
      </c>
      <c r="I28" s="140">
        <f t="shared" si="5"/>
        <v>174000</v>
      </c>
      <c r="J28" s="153"/>
      <c r="K28" s="108"/>
      <c r="L28" s="108"/>
      <c r="M28" s="108"/>
      <c r="N28" s="108"/>
    </row>
    <row r="29" spans="1:16" x14ac:dyDescent="0.7">
      <c r="A29" s="264">
        <v>2.2999999999999998</v>
      </c>
      <c r="B29" s="152" t="s">
        <v>160</v>
      </c>
      <c r="C29" s="140">
        <v>5800</v>
      </c>
      <c r="D29" s="138" t="s">
        <v>25</v>
      </c>
      <c r="E29" s="139">
        <v>30</v>
      </c>
      <c r="F29" s="140">
        <f t="shared" si="3"/>
        <v>174000</v>
      </c>
      <c r="G29" s="139">
        <v>5</v>
      </c>
      <c r="H29" s="140">
        <f t="shared" si="4"/>
        <v>29000</v>
      </c>
      <c r="I29" s="140">
        <f t="shared" si="5"/>
        <v>203000</v>
      </c>
      <c r="J29" s="153"/>
      <c r="K29" s="108"/>
      <c r="L29" s="108"/>
      <c r="M29" s="460">
        <v>9258210</v>
      </c>
      <c r="N29" s="108"/>
      <c r="O29" s="462">
        <v>2804683.83</v>
      </c>
    </row>
    <row r="30" spans="1:16" x14ac:dyDescent="0.7">
      <c r="A30" s="264">
        <v>2.4</v>
      </c>
      <c r="B30" s="152" t="s">
        <v>100</v>
      </c>
      <c r="C30" s="140">
        <v>5800</v>
      </c>
      <c r="D30" s="138" t="s">
        <v>25</v>
      </c>
      <c r="E30" s="139">
        <v>8</v>
      </c>
      <c r="F30" s="140">
        <f t="shared" si="3"/>
        <v>46400</v>
      </c>
      <c r="G30" s="139"/>
      <c r="H30" s="140">
        <f t="shared" si="4"/>
        <v>0</v>
      </c>
      <c r="I30" s="140">
        <f t="shared" si="5"/>
        <v>46400</v>
      </c>
      <c r="J30" s="153"/>
      <c r="K30" s="108"/>
      <c r="L30" s="108"/>
      <c r="M30" s="461">
        <f>I32-M29</f>
        <v>335790</v>
      </c>
      <c r="N30" s="108"/>
      <c r="O30" s="463">
        <f>O29-M30</f>
        <v>2468893.83</v>
      </c>
    </row>
    <row r="31" spans="1:16" x14ac:dyDescent="0.7">
      <c r="A31" s="264">
        <v>2.5</v>
      </c>
      <c r="B31" s="152" t="s">
        <v>101</v>
      </c>
      <c r="C31" s="140">
        <v>580</v>
      </c>
      <c r="D31" s="138" t="s">
        <v>24</v>
      </c>
      <c r="E31" s="139">
        <v>2115</v>
      </c>
      <c r="F31" s="140">
        <f t="shared" si="3"/>
        <v>1226700</v>
      </c>
      <c r="G31" s="139">
        <v>350</v>
      </c>
      <c r="H31" s="140">
        <f t="shared" si="4"/>
        <v>203000</v>
      </c>
      <c r="I31" s="140">
        <f t="shared" si="5"/>
        <v>1429700</v>
      </c>
      <c r="J31" s="474"/>
      <c r="K31" s="108"/>
      <c r="L31" s="108"/>
      <c r="M31" s="238" t="s">
        <v>158</v>
      </c>
      <c r="N31" s="108"/>
    </row>
    <row r="32" spans="1:16" s="191" customFormat="1" ht="61.5" x14ac:dyDescent="0.7">
      <c r="A32" s="446">
        <v>2.6</v>
      </c>
      <c r="B32" s="447" t="s">
        <v>355</v>
      </c>
      <c r="C32" s="448">
        <v>4797</v>
      </c>
      <c r="D32" s="449" t="s">
        <v>25</v>
      </c>
      <c r="E32" s="450">
        <v>1800</v>
      </c>
      <c r="F32" s="448">
        <f>C32*E32</f>
        <v>8634600</v>
      </c>
      <c r="G32" s="450">
        <v>200</v>
      </c>
      <c r="H32" s="448">
        <f t="shared" si="4"/>
        <v>959400</v>
      </c>
      <c r="I32" s="448">
        <f>SUM(F32,H32)</f>
        <v>9594000</v>
      </c>
      <c r="J32" s="451"/>
      <c r="K32" s="190"/>
      <c r="L32" s="190"/>
      <c r="M32" s="190"/>
      <c r="N32" s="190"/>
    </row>
    <row r="33" spans="1:14" x14ac:dyDescent="0.7">
      <c r="A33" s="172"/>
      <c r="B33" s="163" t="s">
        <v>73</v>
      </c>
      <c r="C33" s="357"/>
      <c r="D33" s="173"/>
      <c r="E33" s="174"/>
      <c r="F33" s="166">
        <f>SUM(F26:F32)</f>
        <v>10901200</v>
      </c>
      <c r="G33" s="165"/>
      <c r="H33" s="166">
        <f>SUM(H26:H32)</f>
        <v>1385900</v>
      </c>
      <c r="I33" s="166">
        <f>SUM(I26:I32)</f>
        <v>12287100</v>
      </c>
      <c r="J33" s="175"/>
      <c r="K33" s="239" t="s">
        <v>159</v>
      </c>
      <c r="L33" s="108"/>
      <c r="M33" s="108"/>
      <c r="N33" s="108"/>
    </row>
    <row r="34" spans="1:14" s="181" customFormat="1" x14ac:dyDescent="0.7">
      <c r="A34" s="176">
        <v>4</v>
      </c>
      <c r="B34" s="131" t="s">
        <v>91</v>
      </c>
      <c r="C34" s="355"/>
      <c r="D34" s="132"/>
      <c r="E34" s="133"/>
      <c r="F34" s="134"/>
      <c r="G34" s="133"/>
      <c r="H34" s="134"/>
      <c r="I34" s="134"/>
      <c r="J34" s="135"/>
      <c r="K34" s="180"/>
      <c r="L34" s="180"/>
      <c r="M34" s="180"/>
      <c r="N34" s="180"/>
    </row>
    <row r="35" spans="1:14" x14ac:dyDescent="0.7">
      <c r="A35" s="264">
        <v>4.0999999999999996</v>
      </c>
      <c r="B35" s="152" t="s">
        <v>107</v>
      </c>
      <c r="C35" s="140">
        <v>190</v>
      </c>
      <c r="D35" s="138" t="s">
        <v>24</v>
      </c>
      <c r="E35" s="139">
        <v>550</v>
      </c>
      <c r="F35" s="149">
        <f>C35*E35</f>
        <v>104500</v>
      </c>
      <c r="G35" s="139">
        <v>150</v>
      </c>
      <c r="H35" s="140">
        <f>C35*G35</f>
        <v>28500</v>
      </c>
      <c r="I35" s="140">
        <f>SUM(F35,H35)</f>
        <v>133000</v>
      </c>
      <c r="J35" s="153"/>
      <c r="K35" s="108"/>
      <c r="L35" s="108"/>
      <c r="M35" s="108"/>
      <c r="N35" s="108"/>
    </row>
    <row r="36" spans="1:14" x14ac:dyDescent="0.7">
      <c r="A36" s="264">
        <v>4.2</v>
      </c>
      <c r="B36" s="152" t="s">
        <v>96</v>
      </c>
      <c r="C36" s="140">
        <f>+C35*0.05</f>
        <v>9.5</v>
      </c>
      <c r="D36" s="138" t="s">
        <v>24</v>
      </c>
      <c r="E36" s="139">
        <v>500</v>
      </c>
      <c r="F36" s="140">
        <f>C36*E36</f>
        <v>4750</v>
      </c>
      <c r="G36" s="139">
        <v>50</v>
      </c>
      <c r="H36" s="140">
        <f>C36*G36</f>
        <v>475</v>
      </c>
      <c r="I36" s="140">
        <f>SUM(F36,H36)</f>
        <v>5225</v>
      </c>
      <c r="J36" s="153"/>
      <c r="K36" s="108"/>
      <c r="L36" s="108"/>
      <c r="M36" s="108"/>
      <c r="N36" s="108"/>
    </row>
    <row r="37" spans="1:14" x14ac:dyDescent="0.7">
      <c r="A37" s="264">
        <v>4.3</v>
      </c>
      <c r="B37" s="152" t="s">
        <v>109</v>
      </c>
      <c r="C37" s="140">
        <f>+C35*0.1</f>
        <v>19</v>
      </c>
      <c r="D37" s="138" t="s">
        <v>24</v>
      </c>
      <c r="E37" s="139">
        <v>2115</v>
      </c>
      <c r="F37" s="140">
        <f>C37*E37</f>
        <v>40185</v>
      </c>
      <c r="G37" s="139">
        <v>350</v>
      </c>
      <c r="H37" s="140">
        <f>C37*G37</f>
        <v>6650</v>
      </c>
      <c r="I37" s="140">
        <f>SUM(F37,H37)</f>
        <v>46835</v>
      </c>
      <c r="J37" s="153"/>
      <c r="K37" s="108"/>
      <c r="L37" s="108"/>
      <c r="M37" s="108"/>
      <c r="N37" s="108"/>
    </row>
    <row r="38" spans="1:14" x14ac:dyDescent="0.7">
      <c r="A38" s="264">
        <v>4.4000000000000004</v>
      </c>
      <c r="B38" s="152" t="s">
        <v>97</v>
      </c>
      <c r="C38" s="140">
        <v>941</v>
      </c>
      <c r="D38" s="138" t="s">
        <v>25</v>
      </c>
      <c r="E38" s="139">
        <v>33</v>
      </c>
      <c r="F38" s="140">
        <f>C38*E38</f>
        <v>31053</v>
      </c>
      <c r="G38" s="139">
        <v>5</v>
      </c>
      <c r="H38" s="140">
        <f>C38*G38</f>
        <v>4705</v>
      </c>
      <c r="I38" s="140">
        <f>SUM(F38,H38)</f>
        <v>35758</v>
      </c>
      <c r="J38" s="153"/>
      <c r="K38" s="108"/>
      <c r="L38" s="108"/>
      <c r="M38" s="108"/>
      <c r="N38" s="108"/>
    </row>
    <row r="39" spans="1:14" x14ac:dyDescent="0.7">
      <c r="A39" s="264">
        <v>4.5</v>
      </c>
      <c r="B39" s="152" t="s">
        <v>113</v>
      </c>
      <c r="C39" s="140">
        <v>941</v>
      </c>
      <c r="D39" s="138" t="s">
        <v>25</v>
      </c>
      <c r="E39" s="139">
        <v>115</v>
      </c>
      <c r="F39" s="149">
        <f>C39*E39</f>
        <v>108215</v>
      </c>
      <c r="G39" s="139">
        <v>25</v>
      </c>
      <c r="H39" s="149">
        <f>C39*G39</f>
        <v>23525</v>
      </c>
      <c r="I39" s="149">
        <f>SUM(F39,H39)</f>
        <v>131740</v>
      </c>
      <c r="J39" s="153"/>
      <c r="K39" s="108"/>
      <c r="L39" s="108"/>
      <c r="M39" s="108"/>
      <c r="N39" s="108"/>
    </row>
    <row r="40" spans="1:14" x14ac:dyDescent="0.7">
      <c r="A40" s="172"/>
      <c r="B40" s="163" t="s">
        <v>90</v>
      </c>
      <c r="C40" s="357"/>
      <c r="D40" s="173"/>
      <c r="E40" s="174"/>
      <c r="F40" s="166">
        <f>SUM(F35:F39)</f>
        <v>288703</v>
      </c>
      <c r="G40" s="166"/>
      <c r="H40" s="166">
        <f>SUM(H35:H39)</f>
        <v>63855</v>
      </c>
      <c r="I40" s="166">
        <f>SUM(I35:I39)</f>
        <v>352558</v>
      </c>
      <c r="J40" s="175"/>
      <c r="K40" s="108"/>
      <c r="L40" s="108"/>
      <c r="M40" s="108"/>
      <c r="N40" s="108"/>
    </row>
    <row r="41" spans="1:14" x14ac:dyDescent="0.7">
      <c r="A41" s="176">
        <v>5</v>
      </c>
      <c r="B41" s="131" t="s">
        <v>38</v>
      </c>
      <c r="C41" s="355"/>
      <c r="D41" s="132"/>
      <c r="E41" s="133"/>
      <c r="F41" s="134"/>
      <c r="G41" s="133"/>
      <c r="H41" s="134"/>
      <c r="I41" s="134"/>
      <c r="J41" s="135"/>
      <c r="K41" s="108"/>
      <c r="L41" s="108"/>
      <c r="M41" s="108"/>
      <c r="N41" s="108"/>
    </row>
    <row r="42" spans="1:14" x14ac:dyDescent="0.7">
      <c r="A42" s="260">
        <v>5.0999999999999996</v>
      </c>
      <c r="B42" s="182" t="s">
        <v>78</v>
      </c>
      <c r="C42" s="140">
        <v>396</v>
      </c>
      <c r="D42" s="138" t="s">
        <v>41</v>
      </c>
      <c r="E42" s="139"/>
      <c r="F42" s="140">
        <f>C42*E42</f>
        <v>0</v>
      </c>
      <c r="G42" s="139">
        <v>50</v>
      </c>
      <c r="H42" s="140">
        <f>C42*G42</f>
        <v>19800</v>
      </c>
      <c r="I42" s="140">
        <f>SUM(F42,H42)</f>
        <v>19800</v>
      </c>
      <c r="J42" s="183"/>
      <c r="K42" s="108"/>
      <c r="L42" s="108" t="s">
        <v>76</v>
      </c>
      <c r="M42" s="184">
        <v>396</v>
      </c>
      <c r="N42" s="108" t="s">
        <v>77</v>
      </c>
    </row>
    <row r="43" spans="1:14" x14ac:dyDescent="0.7">
      <c r="A43" s="260">
        <v>5.2</v>
      </c>
      <c r="B43" s="152" t="s">
        <v>303</v>
      </c>
      <c r="C43" s="140">
        <v>211</v>
      </c>
      <c r="D43" s="138" t="s">
        <v>41</v>
      </c>
      <c r="E43" s="188">
        <v>1200</v>
      </c>
      <c r="F43" s="140">
        <f>C43*E43</f>
        <v>253200</v>
      </c>
      <c r="G43" s="188">
        <v>250</v>
      </c>
      <c r="H43" s="140">
        <f>C43*G43</f>
        <v>52750</v>
      </c>
      <c r="I43" s="140">
        <f>SUM(F43,H43)</f>
        <v>305950</v>
      </c>
      <c r="J43" s="153"/>
      <c r="K43" s="108"/>
      <c r="L43" s="108"/>
      <c r="M43" s="159"/>
      <c r="N43" s="108"/>
    </row>
    <row r="44" spans="1:14" x14ac:dyDescent="0.7">
      <c r="A44" s="260">
        <v>5.3</v>
      </c>
      <c r="B44" s="152" t="s">
        <v>302</v>
      </c>
      <c r="C44" s="140">
        <v>186</v>
      </c>
      <c r="D44" s="138" t="s">
        <v>41</v>
      </c>
      <c r="E44" s="188">
        <v>1200</v>
      </c>
      <c r="F44" s="140">
        <f>C44*E44</f>
        <v>223200</v>
      </c>
      <c r="G44" s="188">
        <v>250</v>
      </c>
      <c r="H44" s="140">
        <f>C44*G44</f>
        <v>46500</v>
      </c>
      <c r="I44" s="140">
        <f>SUM(F44,H44)</f>
        <v>269700</v>
      </c>
      <c r="J44" s="153"/>
      <c r="K44" s="108"/>
      <c r="L44" s="108"/>
      <c r="M44" s="159"/>
      <c r="N44" s="108"/>
    </row>
    <row r="45" spans="1:14" x14ac:dyDescent="0.7">
      <c r="A45" s="260">
        <v>5.4</v>
      </c>
      <c r="B45" s="152" t="s">
        <v>376</v>
      </c>
      <c r="C45" s="284">
        <f>(397*0.1*0.3*2)+(0.5*0.1*397)</f>
        <v>43.67</v>
      </c>
      <c r="D45" s="138" t="s">
        <v>24</v>
      </c>
      <c r="E45" s="139">
        <v>2115</v>
      </c>
      <c r="F45" s="149">
        <f t="shared" ref="F45:F48" si="6">C45*E45</f>
        <v>92362.05</v>
      </c>
      <c r="G45" s="139">
        <v>350</v>
      </c>
      <c r="H45" s="149">
        <f t="shared" ref="H45:H48" si="7">C45*G45</f>
        <v>15284.5</v>
      </c>
      <c r="I45" s="149">
        <f t="shared" ref="I45:I48" si="8">SUM(F45,H45)</f>
        <v>107646.55</v>
      </c>
      <c r="J45" s="153"/>
      <c r="K45" s="108"/>
      <c r="L45" s="108"/>
      <c r="M45" s="159"/>
      <c r="N45" s="108"/>
    </row>
    <row r="46" spans="1:14" x14ac:dyDescent="0.7">
      <c r="A46" s="260">
        <v>5.5</v>
      </c>
      <c r="B46" s="283" t="s">
        <v>99</v>
      </c>
      <c r="C46" s="222">
        <f>+(397*0.3*2)+(397*0.4)</f>
        <v>397</v>
      </c>
      <c r="D46" s="138" t="s">
        <v>25</v>
      </c>
      <c r="E46" s="139">
        <v>30</v>
      </c>
      <c r="F46" s="140">
        <f t="shared" si="6"/>
        <v>11910</v>
      </c>
      <c r="G46" s="139">
        <v>5</v>
      </c>
      <c r="H46" s="140">
        <f t="shared" si="7"/>
        <v>1985</v>
      </c>
      <c r="I46" s="140">
        <f t="shared" si="8"/>
        <v>13895</v>
      </c>
      <c r="J46" s="153"/>
      <c r="K46" s="108"/>
      <c r="L46" s="108"/>
      <c r="M46" s="159"/>
      <c r="N46" s="108"/>
    </row>
    <row r="47" spans="1:14" x14ac:dyDescent="0.7">
      <c r="A47" s="260">
        <v>5.6</v>
      </c>
      <c r="B47" s="277" t="s">
        <v>262</v>
      </c>
      <c r="C47" s="284">
        <f>+(397*0.3*2*0.8)</f>
        <v>190.56</v>
      </c>
      <c r="D47" s="138" t="s">
        <v>25</v>
      </c>
      <c r="E47" s="139">
        <v>451.4</v>
      </c>
      <c r="F47" s="149">
        <f t="shared" si="6"/>
        <v>86018.784</v>
      </c>
      <c r="G47" s="139">
        <v>133</v>
      </c>
      <c r="H47" s="149">
        <f t="shared" si="7"/>
        <v>25344.48</v>
      </c>
      <c r="I47" s="149">
        <f t="shared" si="8"/>
        <v>111363.264</v>
      </c>
      <c r="J47" s="153"/>
      <c r="K47" s="108"/>
      <c r="L47" s="108"/>
      <c r="M47" s="159"/>
      <c r="N47" s="108"/>
    </row>
    <row r="48" spans="1:14" x14ac:dyDescent="0.7">
      <c r="A48" s="260">
        <v>5.7</v>
      </c>
      <c r="B48" s="277" t="s">
        <v>96</v>
      </c>
      <c r="C48" s="149">
        <f>+(0.5*0.05*397*1.25)</f>
        <v>12.40625</v>
      </c>
      <c r="D48" s="138" t="s">
        <v>24</v>
      </c>
      <c r="E48" s="139">
        <v>508</v>
      </c>
      <c r="F48" s="149">
        <f t="shared" si="6"/>
        <v>6302.375</v>
      </c>
      <c r="G48" s="139">
        <v>100</v>
      </c>
      <c r="H48" s="149">
        <f t="shared" si="7"/>
        <v>1240.625</v>
      </c>
      <c r="I48" s="149">
        <f t="shared" si="8"/>
        <v>7543</v>
      </c>
      <c r="J48" s="153"/>
      <c r="K48" s="108"/>
      <c r="L48" s="108"/>
      <c r="M48" s="159"/>
      <c r="N48" s="108"/>
    </row>
    <row r="49" spans="1:14" s="170" customFormat="1" x14ac:dyDescent="0.7">
      <c r="A49" s="162"/>
      <c r="B49" s="163" t="s">
        <v>75</v>
      </c>
      <c r="C49" s="356"/>
      <c r="D49" s="164"/>
      <c r="E49" s="165"/>
      <c r="F49" s="166">
        <f>SUM(F42:F48)</f>
        <v>672993.20900000003</v>
      </c>
      <c r="G49" s="165"/>
      <c r="H49" s="166">
        <f>SUM(H42:H48)</f>
        <v>162904.60500000001</v>
      </c>
      <c r="I49" s="166">
        <f>SUM(I42:I48)</f>
        <v>835897.81400000001</v>
      </c>
      <c r="J49" s="167"/>
      <c r="K49" s="168"/>
      <c r="L49" s="168"/>
      <c r="M49" s="185" t="s">
        <v>26</v>
      </c>
      <c r="N49" s="168"/>
    </row>
    <row r="50" spans="1:14" s="351" customFormat="1" x14ac:dyDescent="0.7">
      <c r="A50" s="176">
        <v>6</v>
      </c>
      <c r="B50" s="131" t="s">
        <v>366</v>
      </c>
      <c r="C50" s="355"/>
      <c r="D50" s="132"/>
      <c r="E50" s="133"/>
      <c r="F50" s="134"/>
      <c r="G50" s="133"/>
      <c r="H50" s="134"/>
      <c r="I50" s="134"/>
      <c r="J50" s="135"/>
      <c r="K50" s="349"/>
      <c r="L50" s="349"/>
      <c r="M50" s="350"/>
      <c r="N50" s="349"/>
    </row>
    <row r="51" spans="1:14" x14ac:dyDescent="0.7">
      <c r="A51" s="253">
        <v>6.1</v>
      </c>
      <c r="B51" s="182" t="s">
        <v>78</v>
      </c>
      <c r="C51" s="186">
        <v>390.4</v>
      </c>
      <c r="D51" s="187" t="s">
        <v>41</v>
      </c>
      <c r="E51" s="188"/>
      <c r="F51" s="186">
        <f t="shared" ref="F51:F59" si="9">C51*E51</f>
        <v>0</v>
      </c>
      <c r="G51" s="188">
        <v>50</v>
      </c>
      <c r="H51" s="186">
        <f t="shared" ref="H51:H59" si="10">C51*G51</f>
        <v>19520</v>
      </c>
      <c r="I51" s="186">
        <f t="shared" ref="I51" si="11">SUM(F51,H51)</f>
        <v>19520</v>
      </c>
      <c r="J51" s="189"/>
      <c r="K51" s="108"/>
      <c r="L51" s="108" t="s">
        <v>76</v>
      </c>
      <c r="M51" s="184">
        <v>493</v>
      </c>
      <c r="N51" s="108" t="s">
        <v>77</v>
      </c>
    </row>
    <row r="52" spans="1:14" s="191" customFormat="1" x14ac:dyDescent="0.7">
      <c r="A52" s="253">
        <v>6.2</v>
      </c>
      <c r="B52" s="283" t="s">
        <v>263</v>
      </c>
      <c r="C52" s="225">
        <v>66.5</v>
      </c>
      <c r="D52" s="289" t="s">
        <v>24</v>
      </c>
      <c r="E52" s="288">
        <v>2115</v>
      </c>
      <c r="F52" s="225">
        <f t="shared" si="9"/>
        <v>140647.5</v>
      </c>
      <c r="G52" s="288">
        <v>350</v>
      </c>
      <c r="H52" s="225">
        <f t="shared" si="10"/>
        <v>23275</v>
      </c>
      <c r="I52" s="292">
        <f t="shared" ref="I52" si="12">F52+H52</f>
        <v>163922.5</v>
      </c>
      <c r="J52" s="343"/>
      <c r="K52" s="190"/>
      <c r="L52" s="190"/>
      <c r="M52" s="346"/>
      <c r="N52" s="190"/>
    </row>
    <row r="53" spans="1:14" s="191" customFormat="1" x14ac:dyDescent="0.7">
      <c r="A53" s="253">
        <v>6.3</v>
      </c>
      <c r="B53" s="182" t="s">
        <v>315</v>
      </c>
      <c r="C53" s="186">
        <v>3768</v>
      </c>
      <c r="D53" s="187" t="s">
        <v>35</v>
      </c>
      <c r="E53" s="345">
        <v>22.1</v>
      </c>
      <c r="F53" s="290">
        <f t="shared" si="9"/>
        <v>83272.800000000003</v>
      </c>
      <c r="G53" s="345">
        <v>3.6</v>
      </c>
      <c r="H53" s="290">
        <f t="shared" si="10"/>
        <v>13564.800000000001</v>
      </c>
      <c r="I53" s="290">
        <f t="shared" ref="I53:I59" si="13">SUM(F53,H53)</f>
        <v>96837.6</v>
      </c>
      <c r="J53" s="189"/>
      <c r="K53" s="190"/>
      <c r="L53" s="190"/>
      <c r="M53" s="346"/>
      <c r="N53" s="190"/>
    </row>
    <row r="54" spans="1:14" s="191" customFormat="1" x14ac:dyDescent="0.7">
      <c r="A54" s="253">
        <v>6.4</v>
      </c>
      <c r="B54" s="182" t="s">
        <v>313</v>
      </c>
      <c r="C54" s="225">
        <v>1043.3599999999999</v>
      </c>
      <c r="D54" s="187" t="s">
        <v>35</v>
      </c>
      <c r="E54" s="345">
        <v>22.75</v>
      </c>
      <c r="F54" s="290">
        <f t="shared" si="9"/>
        <v>23736.44</v>
      </c>
      <c r="G54" s="345">
        <v>4.4000000000000004</v>
      </c>
      <c r="H54" s="290">
        <f t="shared" si="10"/>
        <v>4590.7839999999997</v>
      </c>
      <c r="I54" s="290">
        <f t="shared" si="13"/>
        <v>28327.223999999998</v>
      </c>
      <c r="J54" s="189"/>
      <c r="K54" s="190"/>
      <c r="L54" s="190"/>
      <c r="M54" s="346"/>
      <c r="N54" s="190"/>
    </row>
    <row r="55" spans="1:14" s="191" customFormat="1" x14ac:dyDescent="0.7">
      <c r="A55" s="253">
        <v>6.5</v>
      </c>
      <c r="B55" s="182" t="s">
        <v>260</v>
      </c>
      <c r="C55" s="186">
        <v>2913.34</v>
      </c>
      <c r="D55" s="187" t="s">
        <v>35</v>
      </c>
      <c r="E55" s="345">
        <v>22.1</v>
      </c>
      <c r="F55" s="290">
        <f t="shared" si="9"/>
        <v>64384.814000000006</v>
      </c>
      <c r="G55" s="345">
        <v>3.6</v>
      </c>
      <c r="H55" s="290">
        <f t="shared" si="10"/>
        <v>10488.024000000001</v>
      </c>
      <c r="I55" s="290">
        <f t="shared" si="13"/>
        <v>74872.838000000003</v>
      </c>
      <c r="J55" s="189"/>
      <c r="K55" s="190"/>
      <c r="L55" s="190"/>
      <c r="M55" s="346"/>
      <c r="N55" s="190"/>
    </row>
    <row r="56" spans="1:14" s="191" customFormat="1" x14ac:dyDescent="0.7">
      <c r="A56" s="253">
        <v>6.6</v>
      </c>
      <c r="B56" s="182" t="s">
        <v>335</v>
      </c>
      <c r="C56" s="186">
        <f>547*0.9</f>
        <v>492.3</v>
      </c>
      <c r="D56" s="187" t="s">
        <v>25</v>
      </c>
      <c r="E56" s="288">
        <v>451.4</v>
      </c>
      <c r="F56" s="225">
        <f t="shared" si="9"/>
        <v>222224.22</v>
      </c>
      <c r="G56" s="288">
        <v>133</v>
      </c>
      <c r="H56" s="225">
        <f t="shared" si="10"/>
        <v>65475.9</v>
      </c>
      <c r="I56" s="204">
        <f t="shared" si="13"/>
        <v>287700.12</v>
      </c>
      <c r="J56" s="189"/>
      <c r="K56" s="190"/>
      <c r="L56" s="190"/>
      <c r="M56" s="346"/>
      <c r="N56" s="190"/>
    </row>
    <row r="57" spans="1:14" s="191" customFormat="1" x14ac:dyDescent="0.7">
      <c r="A57" s="253">
        <v>6.7</v>
      </c>
      <c r="B57" s="182" t="s">
        <v>96</v>
      </c>
      <c r="C57" s="225">
        <v>4.9400000000000004</v>
      </c>
      <c r="D57" s="289" t="s">
        <v>24</v>
      </c>
      <c r="E57" s="345">
        <v>508</v>
      </c>
      <c r="F57" s="225">
        <f t="shared" si="9"/>
        <v>2509.52</v>
      </c>
      <c r="G57" s="288"/>
      <c r="H57" s="225">
        <f t="shared" si="10"/>
        <v>0</v>
      </c>
      <c r="I57" s="204">
        <f t="shared" si="13"/>
        <v>2509.52</v>
      </c>
      <c r="J57" s="189"/>
      <c r="K57" s="190"/>
      <c r="L57" s="190"/>
      <c r="M57" s="346"/>
      <c r="N57" s="190"/>
    </row>
    <row r="58" spans="1:14" s="191" customFormat="1" ht="25.15" customHeight="1" x14ac:dyDescent="0.7">
      <c r="A58" s="253">
        <v>6.8</v>
      </c>
      <c r="B58" s="182" t="s">
        <v>360</v>
      </c>
      <c r="C58" s="225">
        <v>3</v>
      </c>
      <c r="D58" s="289" t="s">
        <v>24</v>
      </c>
      <c r="E58" s="345">
        <v>1610</v>
      </c>
      <c r="F58" s="225">
        <f t="shared" si="9"/>
        <v>4830</v>
      </c>
      <c r="G58" s="345">
        <v>426</v>
      </c>
      <c r="H58" s="225">
        <f t="shared" si="10"/>
        <v>1278</v>
      </c>
      <c r="I58" s="204">
        <f t="shared" si="13"/>
        <v>6108</v>
      </c>
      <c r="J58" s="347"/>
      <c r="K58" s="190"/>
      <c r="L58" s="190"/>
      <c r="M58" s="346"/>
      <c r="N58" s="190"/>
    </row>
    <row r="59" spans="1:14" s="191" customFormat="1" x14ac:dyDescent="0.7">
      <c r="A59" s="253">
        <v>6.9</v>
      </c>
      <c r="B59" s="182" t="s">
        <v>304</v>
      </c>
      <c r="C59" s="186">
        <v>493</v>
      </c>
      <c r="D59" s="187" t="s">
        <v>41</v>
      </c>
      <c r="E59" s="188">
        <v>750</v>
      </c>
      <c r="F59" s="186">
        <f t="shared" si="9"/>
        <v>369750</v>
      </c>
      <c r="G59" s="188">
        <v>250</v>
      </c>
      <c r="H59" s="186">
        <f t="shared" si="10"/>
        <v>123250</v>
      </c>
      <c r="I59" s="186">
        <f t="shared" si="13"/>
        <v>493000</v>
      </c>
      <c r="J59" s="189"/>
      <c r="K59" s="190"/>
      <c r="L59" s="190"/>
      <c r="M59" s="190"/>
      <c r="N59" s="190"/>
    </row>
    <row r="60" spans="1:14" s="170" customFormat="1" x14ac:dyDescent="0.7">
      <c r="A60" s="162"/>
      <c r="B60" s="163" t="s">
        <v>80</v>
      </c>
      <c r="C60" s="356"/>
      <c r="D60" s="164"/>
      <c r="E60" s="165"/>
      <c r="F60" s="166">
        <f>SUM(F51:F59)</f>
        <v>911355.29399999999</v>
      </c>
      <c r="G60" s="165"/>
      <c r="H60" s="166">
        <f>SUM(H51:H59)</f>
        <v>261442.508</v>
      </c>
      <c r="I60" s="166">
        <f>SUM(I51:I59)</f>
        <v>1172797.8019999999</v>
      </c>
      <c r="J60" s="167"/>
      <c r="K60" s="168"/>
      <c r="L60" s="168"/>
      <c r="M60" s="168"/>
      <c r="N60" s="168"/>
    </row>
    <row r="61" spans="1:14" s="181" customFormat="1" x14ac:dyDescent="0.7">
      <c r="A61" s="176">
        <v>7</v>
      </c>
      <c r="B61" s="131" t="s">
        <v>81</v>
      </c>
      <c r="C61" s="355"/>
      <c r="D61" s="132"/>
      <c r="E61" s="133"/>
      <c r="F61" s="134"/>
      <c r="G61" s="133"/>
      <c r="H61" s="134"/>
      <c r="I61" s="134"/>
      <c r="J61" s="135"/>
      <c r="K61" s="180"/>
      <c r="L61" s="180"/>
      <c r="M61" s="180"/>
      <c r="N61" s="180"/>
    </row>
    <row r="62" spans="1:14" s="181" customFormat="1" x14ac:dyDescent="0.7">
      <c r="A62" s="264">
        <v>7.1</v>
      </c>
      <c r="B62" s="152" t="s">
        <v>82</v>
      </c>
      <c r="C62" s="140">
        <v>494</v>
      </c>
      <c r="D62" s="138" t="s">
        <v>41</v>
      </c>
      <c r="E62" s="139"/>
      <c r="F62" s="140">
        <f>C62*E62</f>
        <v>0</v>
      </c>
      <c r="G62" s="139">
        <v>125</v>
      </c>
      <c r="H62" s="140">
        <f>C62*G62</f>
        <v>61750</v>
      </c>
      <c r="I62" s="140">
        <f>SUM(F62,H62)</f>
        <v>61750</v>
      </c>
      <c r="J62" s="183"/>
      <c r="K62" s="180"/>
      <c r="L62" s="180"/>
      <c r="M62" s="180"/>
      <c r="N62" s="180"/>
    </row>
    <row r="63" spans="1:14" x14ac:dyDescent="0.7">
      <c r="A63" s="264">
        <v>7.2</v>
      </c>
      <c r="B63" s="152" t="s">
        <v>362</v>
      </c>
      <c r="C63" s="140">
        <v>6</v>
      </c>
      <c r="D63" s="138" t="s">
        <v>23</v>
      </c>
      <c r="E63" s="139">
        <v>2750</v>
      </c>
      <c r="F63" s="140">
        <f t="shared" ref="F63:F66" si="14">C63*E63</f>
        <v>16500</v>
      </c>
      <c r="G63" s="188">
        <v>700</v>
      </c>
      <c r="H63" s="140">
        <f t="shared" ref="H63:H66" si="15">C63*G63</f>
        <v>4200</v>
      </c>
      <c r="I63" s="140">
        <f t="shared" ref="I63:I66" si="16">SUM(F63,H63)</f>
        <v>20700</v>
      </c>
      <c r="J63" s="153"/>
      <c r="K63" s="108"/>
      <c r="L63" s="108"/>
      <c r="M63" s="108"/>
      <c r="N63" s="108"/>
    </row>
    <row r="64" spans="1:14" x14ac:dyDescent="0.7">
      <c r="A64" s="264">
        <v>7.3</v>
      </c>
      <c r="B64" s="152" t="s">
        <v>363</v>
      </c>
      <c r="C64" s="140">
        <v>3</v>
      </c>
      <c r="D64" s="138" t="s">
        <v>23</v>
      </c>
      <c r="E64" s="139">
        <v>1125</v>
      </c>
      <c r="F64" s="140">
        <f t="shared" si="14"/>
        <v>3375</v>
      </c>
      <c r="G64" s="188">
        <v>700</v>
      </c>
      <c r="H64" s="140">
        <f t="shared" si="15"/>
        <v>2100</v>
      </c>
      <c r="I64" s="140">
        <f t="shared" si="16"/>
        <v>5475</v>
      </c>
      <c r="J64" s="153"/>
      <c r="K64" s="108"/>
      <c r="L64" s="108"/>
      <c r="M64" s="108"/>
      <c r="N64" s="108"/>
    </row>
    <row r="65" spans="1:14" x14ac:dyDescent="0.7">
      <c r="A65" s="264">
        <v>7.4</v>
      </c>
      <c r="B65" s="152" t="s">
        <v>368</v>
      </c>
      <c r="C65" s="140">
        <v>36</v>
      </c>
      <c r="D65" s="138" t="s">
        <v>41</v>
      </c>
      <c r="E65" s="139">
        <v>787</v>
      </c>
      <c r="F65" s="140">
        <f t="shared" si="14"/>
        <v>28332</v>
      </c>
      <c r="G65" s="139"/>
      <c r="H65" s="140">
        <f t="shared" si="15"/>
        <v>0</v>
      </c>
      <c r="I65" s="140">
        <f t="shared" si="16"/>
        <v>28332</v>
      </c>
      <c r="J65" s="153" t="s">
        <v>367</v>
      </c>
      <c r="K65" s="108"/>
      <c r="L65" s="108"/>
      <c r="M65" s="108"/>
      <c r="N65" s="108"/>
    </row>
    <row r="66" spans="1:14" x14ac:dyDescent="0.7">
      <c r="A66" s="264">
        <v>7.5</v>
      </c>
      <c r="B66" s="152" t="s">
        <v>369</v>
      </c>
      <c r="C66" s="140">
        <v>100</v>
      </c>
      <c r="D66" s="138" t="s">
        <v>41</v>
      </c>
      <c r="E66" s="139">
        <v>397</v>
      </c>
      <c r="F66" s="140">
        <f t="shared" si="14"/>
        <v>39700</v>
      </c>
      <c r="G66" s="139"/>
      <c r="H66" s="140">
        <f t="shared" si="15"/>
        <v>0</v>
      </c>
      <c r="I66" s="140">
        <f t="shared" si="16"/>
        <v>39700</v>
      </c>
      <c r="J66" s="153" t="s">
        <v>367</v>
      </c>
      <c r="K66" s="108"/>
      <c r="L66" s="108"/>
      <c r="M66" s="108"/>
      <c r="N66" s="108"/>
    </row>
    <row r="67" spans="1:14" x14ac:dyDescent="0.7">
      <c r="A67" s="264">
        <v>7.6</v>
      </c>
      <c r="B67" s="152" t="s">
        <v>83</v>
      </c>
      <c r="C67" s="140">
        <v>3</v>
      </c>
      <c r="D67" s="138" t="s">
        <v>84</v>
      </c>
      <c r="E67" s="139"/>
      <c r="F67" s="140">
        <f>C67*E67</f>
        <v>0</v>
      </c>
      <c r="G67" s="139">
        <v>3000</v>
      </c>
      <c r="H67" s="140">
        <f>C67*G67</f>
        <v>9000</v>
      </c>
      <c r="I67" s="140">
        <f>SUM(F67,H67)</f>
        <v>9000</v>
      </c>
      <c r="J67" s="153"/>
      <c r="K67" s="108"/>
      <c r="L67" s="108"/>
      <c r="M67" s="108"/>
      <c r="N67" s="108"/>
    </row>
    <row r="68" spans="1:14" s="170" customFormat="1" x14ac:dyDescent="0.7">
      <c r="A68" s="162"/>
      <c r="B68" s="163" t="s">
        <v>85</v>
      </c>
      <c r="C68" s="356"/>
      <c r="D68" s="164"/>
      <c r="E68" s="165"/>
      <c r="F68" s="166">
        <f>SUM(F62:F67)</f>
        <v>87907</v>
      </c>
      <c r="G68" s="165"/>
      <c r="H68" s="166">
        <f>SUM(H62:H67)</f>
        <v>77050</v>
      </c>
      <c r="I68" s="166">
        <f>SUM(I62:I67)</f>
        <v>164957</v>
      </c>
      <c r="J68" s="167"/>
      <c r="K68" s="168"/>
      <c r="L68" s="168"/>
      <c r="M68" s="168"/>
      <c r="N68" s="168"/>
    </row>
    <row r="69" spans="1:14" x14ac:dyDescent="0.7">
      <c r="A69" s="192">
        <v>8</v>
      </c>
      <c r="B69" s="291" t="s">
        <v>306</v>
      </c>
      <c r="C69" s="359"/>
      <c r="D69" s="193" t="s">
        <v>26</v>
      </c>
      <c r="E69" s="194"/>
      <c r="F69" s="195"/>
      <c r="G69" s="194"/>
      <c r="H69" s="195"/>
      <c r="I69" s="195"/>
      <c r="J69" s="196"/>
    </row>
    <row r="70" spans="1:14" s="191" customFormat="1" x14ac:dyDescent="0.7">
      <c r="A70" s="201">
        <v>8.1</v>
      </c>
      <c r="B70" s="244" t="s">
        <v>374</v>
      </c>
      <c r="C70" s="360"/>
      <c r="D70" s="241"/>
      <c r="E70" s="286"/>
      <c r="F70" s="287"/>
      <c r="G70" s="286"/>
      <c r="H70" s="243"/>
      <c r="I70" s="243"/>
      <c r="J70" s="202"/>
    </row>
    <row r="71" spans="1:14" s="191" customFormat="1" x14ac:dyDescent="0.7">
      <c r="A71" s="253" t="s">
        <v>162</v>
      </c>
      <c r="B71" s="283" t="s">
        <v>307</v>
      </c>
      <c r="C71" s="281">
        <v>8</v>
      </c>
      <c r="D71" s="187" t="s">
        <v>23</v>
      </c>
      <c r="E71" s="188">
        <v>1350</v>
      </c>
      <c r="F71" s="204">
        <f t="shared" ref="F71:F82" si="17">C71*E71</f>
        <v>10800</v>
      </c>
      <c r="G71" s="188">
        <v>405</v>
      </c>
      <c r="H71" s="204">
        <f t="shared" ref="H71:H82" si="18">C71*G71</f>
        <v>3240</v>
      </c>
      <c r="I71" s="204">
        <f t="shared" ref="I71:I81" si="19">F71+H71</f>
        <v>14040</v>
      </c>
      <c r="J71" s="209"/>
    </row>
    <row r="72" spans="1:14" s="191" customFormat="1" x14ac:dyDescent="0.7">
      <c r="A72" s="253" t="s">
        <v>163</v>
      </c>
      <c r="B72" s="283" t="s">
        <v>164</v>
      </c>
      <c r="C72" s="281">
        <v>2</v>
      </c>
      <c r="D72" s="187" t="s">
        <v>236</v>
      </c>
      <c r="E72" s="188">
        <v>1074</v>
      </c>
      <c r="F72" s="204">
        <f t="shared" si="17"/>
        <v>2148</v>
      </c>
      <c r="G72" s="188">
        <v>660</v>
      </c>
      <c r="H72" s="204">
        <f t="shared" si="18"/>
        <v>1320</v>
      </c>
      <c r="I72" s="204">
        <f t="shared" si="19"/>
        <v>3468</v>
      </c>
      <c r="J72" s="209"/>
    </row>
    <row r="73" spans="1:14" s="191" customFormat="1" x14ac:dyDescent="0.7">
      <c r="A73" s="253" t="s">
        <v>172</v>
      </c>
      <c r="B73" s="283" t="s">
        <v>165</v>
      </c>
      <c r="C73" s="281">
        <v>8</v>
      </c>
      <c r="D73" s="187" t="s">
        <v>237</v>
      </c>
      <c r="E73" s="188">
        <v>150</v>
      </c>
      <c r="F73" s="204">
        <f t="shared" si="17"/>
        <v>1200</v>
      </c>
      <c r="G73" s="188">
        <v>45</v>
      </c>
      <c r="H73" s="204">
        <f t="shared" si="18"/>
        <v>360</v>
      </c>
      <c r="I73" s="204">
        <f t="shared" si="19"/>
        <v>1560</v>
      </c>
      <c r="J73" s="209"/>
    </row>
    <row r="74" spans="1:14" s="191" customFormat="1" x14ac:dyDescent="0.7">
      <c r="A74" s="253" t="s">
        <v>173</v>
      </c>
      <c r="B74" s="283" t="s">
        <v>308</v>
      </c>
      <c r="C74" s="281">
        <v>8</v>
      </c>
      <c r="D74" s="187" t="s">
        <v>23</v>
      </c>
      <c r="E74" s="188">
        <v>600</v>
      </c>
      <c r="F74" s="204">
        <f t="shared" si="17"/>
        <v>4800</v>
      </c>
      <c r="G74" s="188">
        <v>180</v>
      </c>
      <c r="H74" s="204">
        <f t="shared" si="18"/>
        <v>1440</v>
      </c>
      <c r="I74" s="204">
        <f t="shared" si="19"/>
        <v>6240</v>
      </c>
      <c r="J74" s="209"/>
    </row>
    <row r="75" spans="1:14" s="191" customFormat="1" x14ac:dyDescent="0.7">
      <c r="A75" s="253" t="s">
        <v>174</v>
      </c>
      <c r="B75" s="283" t="s">
        <v>167</v>
      </c>
      <c r="C75" s="281">
        <v>8</v>
      </c>
      <c r="D75" s="187" t="s">
        <v>23</v>
      </c>
      <c r="E75" s="188">
        <v>600</v>
      </c>
      <c r="F75" s="204">
        <f t="shared" si="17"/>
        <v>4800</v>
      </c>
      <c r="G75" s="188">
        <v>180</v>
      </c>
      <c r="H75" s="204">
        <f t="shared" si="18"/>
        <v>1440</v>
      </c>
      <c r="I75" s="204">
        <f t="shared" si="19"/>
        <v>6240</v>
      </c>
      <c r="J75" s="209"/>
    </row>
    <row r="76" spans="1:14" s="191" customFormat="1" x14ac:dyDescent="0.7">
      <c r="A76" s="253" t="s">
        <v>175</v>
      </c>
      <c r="B76" s="283" t="s">
        <v>168</v>
      </c>
      <c r="C76" s="281">
        <v>8</v>
      </c>
      <c r="D76" s="187" t="s">
        <v>237</v>
      </c>
      <c r="E76" s="188">
        <v>800</v>
      </c>
      <c r="F76" s="204">
        <f t="shared" si="17"/>
        <v>6400</v>
      </c>
      <c r="G76" s="188">
        <v>240</v>
      </c>
      <c r="H76" s="204">
        <f t="shared" si="18"/>
        <v>1920</v>
      </c>
      <c r="I76" s="204">
        <f t="shared" si="19"/>
        <v>8320</v>
      </c>
      <c r="J76" s="209"/>
    </row>
    <row r="77" spans="1:14" s="191" customFormat="1" x14ac:dyDescent="0.7">
      <c r="A77" s="253" t="s">
        <v>176</v>
      </c>
      <c r="B77" s="283" t="s">
        <v>169</v>
      </c>
      <c r="C77" s="281">
        <v>8</v>
      </c>
      <c r="D77" s="187" t="s">
        <v>237</v>
      </c>
      <c r="E77" s="188">
        <v>452</v>
      </c>
      <c r="F77" s="204">
        <f t="shared" si="17"/>
        <v>3616</v>
      </c>
      <c r="G77" s="188">
        <v>135</v>
      </c>
      <c r="H77" s="204">
        <f t="shared" si="18"/>
        <v>1080</v>
      </c>
      <c r="I77" s="204">
        <f t="shared" si="19"/>
        <v>4696</v>
      </c>
      <c r="J77" s="209"/>
    </row>
    <row r="78" spans="1:14" s="191" customFormat="1" x14ac:dyDescent="0.7">
      <c r="A78" s="253" t="s">
        <v>177</v>
      </c>
      <c r="B78" s="283" t="s">
        <v>170</v>
      </c>
      <c r="C78" s="281">
        <v>8</v>
      </c>
      <c r="D78" s="187" t="s">
        <v>237</v>
      </c>
      <c r="E78" s="188">
        <v>1500</v>
      </c>
      <c r="F78" s="204">
        <f t="shared" si="17"/>
        <v>12000</v>
      </c>
      <c r="G78" s="188">
        <v>450</v>
      </c>
      <c r="H78" s="204">
        <f t="shared" si="18"/>
        <v>3600</v>
      </c>
      <c r="I78" s="204">
        <f t="shared" si="19"/>
        <v>15600</v>
      </c>
      <c r="J78" s="209"/>
    </row>
    <row r="79" spans="1:14" s="191" customFormat="1" x14ac:dyDescent="0.7">
      <c r="A79" s="253" t="s">
        <v>178</v>
      </c>
      <c r="B79" s="283" t="s">
        <v>309</v>
      </c>
      <c r="C79" s="281">
        <v>444</v>
      </c>
      <c r="D79" s="187" t="s">
        <v>41</v>
      </c>
      <c r="E79" s="188">
        <v>126</v>
      </c>
      <c r="F79" s="290">
        <f t="shared" si="17"/>
        <v>55944</v>
      </c>
      <c r="G79" s="188">
        <v>100</v>
      </c>
      <c r="H79" s="204">
        <f t="shared" si="18"/>
        <v>44400</v>
      </c>
      <c r="I79" s="204">
        <f t="shared" si="19"/>
        <v>100344</v>
      </c>
      <c r="J79" s="209"/>
    </row>
    <row r="80" spans="1:14" s="191" customFormat="1" x14ac:dyDescent="0.7">
      <c r="A80" s="253" t="s">
        <v>179</v>
      </c>
      <c r="B80" s="283" t="s">
        <v>166</v>
      </c>
      <c r="C80" s="361">
        <f>444*0.3*0.2</f>
        <v>26.64</v>
      </c>
      <c r="D80" s="289" t="s">
        <v>24</v>
      </c>
      <c r="E80" s="188"/>
      <c r="F80" s="243">
        <f t="shared" si="17"/>
        <v>0</v>
      </c>
      <c r="G80" s="188">
        <v>120</v>
      </c>
      <c r="H80" s="292">
        <f t="shared" si="18"/>
        <v>3196.8</v>
      </c>
      <c r="I80" s="292">
        <f t="shared" si="19"/>
        <v>3196.8</v>
      </c>
      <c r="J80" s="202"/>
    </row>
    <row r="81" spans="1:11" s="191" customFormat="1" x14ac:dyDescent="0.7">
      <c r="A81" s="253" t="s">
        <v>180</v>
      </c>
      <c r="B81" s="283" t="s">
        <v>171</v>
      </c>
      <c r="C81" s="361">
        <v>1</v>
      </c>
      <c r="D81" s="289" t="s">
        <v>24</v>
      </c>
      <c r="E81" s="139">
        <v>2115</v>
      </c>
      <c r="F81" s="149">
        <f t="shared" si="17"/>
        <v>2115</v>
      </c>
      <c r="G81" s="139">
        <v>350</v>
      </c>
      <c r="H81" s="149">
        <f t="shared" si="18"/>
        <v>350</v>
      </c>
      <c r="I81" s="293">
        <f t="shared" si="19"/>
        <v>2465</v>
      </c>
      <c r="J81" s="202"/>
    </row>
    <row r="82" spans="1:11" s="191" customFormat="1" x14ac:dyDescent="0.7">
      <c r="A82" s="253" t="s">
        <v>181</v>
      </c>
      <c r="B82" s="277" t="s">
        <v>296</v>
      </c>
      <c r="C82" s="361">
        <v>30</v>
      </c>
      <c r="D82" s="138" t="s">
        <v>35</v>
      </c>
      <c r="E82" s="139">
        <v>22</v>
      </c>
      <c r="F82" s="149">
        <f t="shared" si="17"/>
        <v>660</v>
      </c>
      <c r="G82" s="139">
        <v>4.0999999999999996</v>
      </c>
      <c r="H82" s="149">
        <f t="shared" si="18"/>
        <v>122.99999999999999</v>
      </c>
      <c r="I82" s="149">
        <f t="shared" ref="I82" si="20">SUM(F82,H82)</f>
        <v>783</v>
      </c>
      <c r="J82" s="202"/>
    </row>
    <row r="83" spans="1:11" s="191" customFormat="1" x14ac:dyDescent="0.7">
      <c r="A83" s="247"/>
      <c r="B83" s="252" t="s">
        <v>232</v>
      </c>
      <c r="C83" s="362"/>
      <c r="D83" s="248"/>
      <c r="E83" s="249"/>
      <c r="F83" s="250">
        <f>SUM(F71:F82)</f>
        <v>104483</v>
      </c>
      <c r="G83" s="249"/>
      <c r="H83" s="250">
        <f>SUM(H71:H82)</f>
        <v>62469.8</v>
      </c>
      <c r="I83" s="250">
        <f>SUM(I71:I82)</f>
        <v>166952.79999999999</v>
      </c>
      <c r="J83" s="251"/>
      <c r="K83" s="470"/>
    </row>
    <row r="84" spans="1:11" s="191" customFormat="1" x14ac:dyDescent="0.7">
      <c r="A84" s="246">
        <v>8.1999999999999993</v>
      </c>
      <c r="B84" s="245" t="s">
        <v>344</v>
      </c>
      <c r="C84" s="360"/>
      <c r="D84" s="241"/>
      <c r="E84" s="242"/>
      <c r="F84" s="243"/>
      <c r="G84" s="242"/>
      <c r="H84" s="243"/>
      <c r="I84" s="243"/>
      <c r="J84" s="344"/>
      <c r="K84" s="471" t="s">
        <v>361</v>
      </c>
    </row>
    <row r="85" spans="1:11" s="191" customFormat="1" x14ac:dyDescent="0.7">
      <c r="A85" s="253" t="s">
        <v>182</v>
      </c>
      <c r="B85" s="182" t="s">
        <v>310</v>
      </c>
      <c r="C85" s="363">
        <v>1</v>
      </c>
      <c r="D85" s="187" t="s">
        <v>23</v>
      </c>
      <c r="E85" s="288">
        <v>28050</v>
      </c>
      <c r="F85" s="290">
        <f>C85*E85</f>
        <v>28050</v>
      </c>
      <c r="G85" s="288"/>
      <c r="H85" s="290">
        <f>C85*G85</f>
        <v>0</v>
      </c>
      <c r="I85" s="290">
        <f>F85+H85</f>
        <v>28050</v>
      </c>
      <c r="J85" s="202"/>
      <c r="K85" s="472" t="e">
        <f>J84-#REF!</f>
        <v>#REF!</v>
      </c>
    </row>
    <row r="86" spans="1:11" s="191" customFormat="1" x14ac:dyDescent="0.7">
      <c r="A86" s="253" t="s">
        <v>186</v>
      </c>
      <c r="B86" s="182" t="s">
        <v>183</v>
      </c>
      <c r="C86" s="363">
        <v>1</v>
      </c>
      <c r="D86" s="187" t="s">
        <v>23</v>
      </c>
      <c r="E86" s="288">
        <v>450</v>
      </c>
      <c r="F86" s="290">
        <f t="shared" ref="F86:F91" si="21">C86*E86</f>
        <v>450</v>
      </c>
      <c r="G86" s="288"/>
      <c r="H86" s="290">
        <f t="shared" ref="H86:H91" si="22">C86*G86</f>
        <v>0</v>
      </c>
      <c r="I86" s="290">
        <f t="shared" ref="I86:I89" si="23">F86+H86</f>
        <v>450</v>
      </c>
      <c r="J86" s="202"/>
    </row>
    <row r="87" spans="1:11" s="191" customFormat="1" x14ac:dyDescent="0.7">
      <c r="A87" s="253" t="s">
        <v>187</v>
      </c>
      <c r="B87" s="182" t="s">
        <v>184</v>
      </c>
      <c r="C87" s="363">
        <v>1</v>
      </c>
      <c r="D87" s="187" t="s">
        <v>23</v>
      </c>
      <c r="E87" s="288">
        <v>2400</v>
      </c>
      <c r="F87" s="290">
        <f t="shared" si="21"/>
        <v>2400</v>
      </c>
      <c r="G87" s="288"/>
      <c r="H87" s="290">
        <f t="shared" si="22"/>
        <v>0</v>
      </c>
      <c r="I87" s="290">
        <f t="shared" si="23"/>
        <v>2400</v>
      </c>
      <c r="J87" s="202"/>
    </row>
    <row r="88" spans="1:11" s="191" customFormat="1" x14ac:dyDescent="0.7">
      <c r="A88" s="253" t="s">
        <v>188</v>
      </c>
      <c r="B88" s="182" t="s">
        <v>185</v>
      </c>
      <c r="C88" s="363">
        <v>1</v>
      </c>
      <c r="D88" s="187" t="s">
        <v>23</v>
      </c>
      <c r="E88" s="288">
        <v>22000</v>
      </c>
      <c r="F88" s="290">
        <f t="shared" si="21"/>
        <v>22000</v>
      </c>
      <c r="G88" s="288"/>
      <c r="H88" s="290">
        <f t="shared" si="22"/>
        <v>0</v>
      </c>
      <c r="I88" s="290">
        <f t="shared" si="23"/>
        <v>22000</v>
      </c>
      <c r="J88" s="202"/>
    </row>
    <row r="89" spans="1:11" s="191" customFormat="1" x14ac:dyDescent="0.7">
      <c r="A89" s="253" t="s">
        <v>189</v>
      </c>
      <c r="B89" s="182" t="s">
        <v>357</v>
      </c>
      <c r="C89" s="363">
        <v>1</v>
      </c>
      <c r="D89" s="187" t="s">
        <v>23</v>
      </c>
      <c r="E89" s="288"/>
      <c r="F89" s="290">
        <f t="shared" si="21"/>
        <v>0</v>
      </c>
      <c r="G89" s="288">
        <v>36945</v>
      </c>
      <c r="H89" s="290">
        <f t="shared" si="22"/>
        <v>36945</v>
      </c>
      <c r="I89" s="290">
        <f t="shared" si="23"/>
        <v>36945</v>
      </c>
      <c r="J89" s="202"/>
    </row>
    <row r="90" spans="1:11" s="210" customFormat="1" x14ac:dyDescent="0.7">
      <c r="A90" s="253" t="s">
        <v>341</v>
      </c>
      <c r="B90" s="182" t="s">
        <v>356</v>
      </c>
      <c r="C90" s="186">
        <v>1</v>
      </c>
      <c r="D90" s="187" t="s">
        <v>23</v>
      </c>
      <c r="E90" s="203">
        <v>125000</v>
      </c>
      <c r="F90" s="204">
        <f t="shared" si="21"/>
        <v>125000</v>
      </c>
      <c r="G90" s="203">
        <v>20000</v>
      </c>
      <c r="H90" s="204">
        <f t="shared" si="22"/>
        <v>20000</v>
      </c>
      <c r="I90" s="204">
        <f t="shared" ref="I90:I91" si="24">SUM(F90,H90)</f>
        <v>145000</v>
      </c>
      <c r="J90" s="202"/>
    </row>
    <row r="91" spans="1:11" s="210" customFormat="1" x14ac:dyDescent="0.7">
      <c r="A91" s="253" t="s">
        <v>342</v>
      </c>
      <c r="B91" s="182" t="s">
        <v>343</v>
      </c>
      <c r="C91" s="140">
        <v>1</v>
      </c>
      <c r="D91" s="138" t="s">
        <v>23</v>
      </c>
      <c r="E91" s="203">
        <v>8500</v>
      </c>
      <c r="F91" s="204">
        <f t="shared" si="21"/>
        <v>8500</v>
      </c>
      <c r="G91" s="203">
        <v>1500</v>
      </c>
      <c r="H91" s="204">
        <f t="shared" si="22"/>
        <v>1500</v>
      </c>
      <c r="I91" s="204">
        <f t="shared" si="24"/>
        <v>10000</v>
      </c>
      <c r="J91" s="202"/>
    </row>
    <row r="92" spans="1:11" s="191" customFormat="1" x14ac:dyDescent="0.7">
      <c r="A92" s="247"/>
      <c r="B92" s="252" t="s">
        <v>233</v>
      </c>
      <c r="C92" s="362"/>
      <c r="D92" s="248"/>
      <c r="E92" s="249"/>
      <c r="F92" s="250">
        <f>SUM(F85:F91)</f>
        <v>186400</v>
      </c>
      <c r="G92" s="249"/>
      <c r="H92" s="250">
        <f>SUM(H85:H91)</f>
        <v>58445</v>
      </c>
      <c r="I92" s="250">
        <f>SUM(I85:I91)</f>
        <v>244845</v>
      </c>
      <c r="J92" s="342"/>
    </row>
    <row r="93" spans="1:11" s="191" customFormat="1" x14ac:dyDescent="0.7">
      <c r="A93" s="246">
        <v>8.3000000000000007</v>
      </c>
      <c r="B93" s="245" t="s">
        <v>191</v>
      </c>
      <c r="C93" s="360"/>
      <c r="D93" s="241"/>
      <c r="E93" s="242"/>
      <c r="F93" s="243"/>
      <c r="G93" s="203"/>
      <c r="H93" s="243"/>
      <c r="I93" s="243"/>
      <c r="J93" s="202"/>
    </row>
    <row r="94" spans="1:11" s="191" customFormat="1" x14ac:dyDescent="0.7">
      <c r="A94" s="253" t="s">
        <v>190</v>
      </c>
      <c r="B94" s="182" t="s">
        <v>192</v>
      </c>
      <c r="C94" s="364">
        <v>3</v>
      </c>
      <c r="D94" s="187" t="s">
        <v>236</v>
      </c>
      <c r="E94" s="288">
        <v>2509.8000000000002</v>
      </c>
      <c r="F94" s="204">
        <f t="shared" ref="F94:F104" si="25">C94*E94</f>
        <v>7529.4000000000005</v>
      </c>
      <c r="G94" s="188">
        <v>1500</v>
      </c>
      <c r="H94" s="204">
        <f t="shared" ref="H94:H104" si="26">C94*G94</f>
        <v>4500</v>
      </c>
      <c r="I94" s="204">
        <f t="shared" ref="I94:I104" si="27">F94+H94</f>
        <v>12029.400000000001</v>
      </c>
      <c r="J94" s="202"/>
    </row>
    <row r="95" spans="1:11" s="191" customFormat="1" x14ac:dyDescent="0.7">
      <c r="A95" s="253" t="s">
        <v>203</v>
      </c>
      <c r="B95" s="182" t="s">
        <v>193</v>
      </c>
      <c r="C95" s="364">
        <v>1</v>
      </c>
      <c r="D95" s="187" t="s">
        <v>23</v>
      </c>
      <c r="E95" s="288">
        <v>5300</v>
      </c>
      <c r="F95" s="204">
        <f t="shared" si="25"/>
        <v>5300</v>
      </c>
      <c r="G95" s="188">
        <v>800</v>
      </c>
      <c r="H95" s="204">
        <f t="shared" si="26"/>
        <v>800</v>
      </c>
      <c r="I95" s="204">
        <f t="shared" si="27"/>
        <v>6100</v>
      </c>
      <c r="J95" s="202"/>
    </row>
    <row r="96" spans="1:11" s="191" customFormat="1" x14ac:dyDescent="0.7">
      <c r="A96" s="253" t="s">
        <v>204</v>
      </c>
      <c r="B96" s="182" t="s">
        <v>194</v>
      </c>
      <c r="C96" s="364">
        <v>1</v>
      </c>
      <c r="D96" s="187" t="s">
        <v>237</v>
      </c>
      <c r="E96" s="288">
        <v>190</v>
      </c>
      <c r="F96" s="204">
        <f t="shared" si="25"/>
        <v>190</v>
      </c>
      <c r="G96" s="188">
        <v>57</v>
      </c>
      <c r="H96" s="204">
        <f t="shared" si="26"/>
        <v>57</v>
      </c>
      <c r="I96" s="204">
        <f t="shared" si="27"/>
        <v>247</v>
      </c>
      <c r="J96" s="202"/>
    </row>
    <row r="97" spans="1:10" s="191" customFormat="1" x14ac:dyDescent="0.7">
      <c r="A97" s="253" t="s">
        <v>205</v>
      </c>
      <c r="B97" s="182" t="s">
        <v>195</v>
      </c>
      <c r="C97" s="364">
        <v>4</v>
      </c>
      <c r="D97" s="187" t="s">
        <v>237</v>
      </c>
      <c r="E97" s="288">
        <v>800</v>
      </c>
      <c r="F97" s="204">
        <f t="shared" si="25"/>
        <v>3200</v>
      </c>
      <c r="G97" s="188">
        <v>240</v>
      </c>
      <c r="H97" s="204">
        <f t="shared" si="26"/>
        <v>960</v>
      </c>
      <c r="I97" s="204">
        <f t="shared" si="27"/>
        <v>4160</v>
      </c>
      <c r="J97" s="202"/>
    </row>
    <row r="98" spans="1:10" s="191" customFormat="1" x14ac:dyDescent="0.7">
      <c r="A98" s="253" t="s">
        <v>206</v>
      </c>
      <c r="B98" s="182" t="s">
        <v>196</v>
      </c>
      <c r="C98" s="364">
        <v>1</v>
      </c>
      <c r="D98" s="187" t="s">
        <v>237</v>
      </c>
      <c r="E98" s="288">
        <v>700</v>
      </c>
      <c r="F98" s="204">
        <f t="shared" si="25"/>
        <v>700</v>
      </c>
      <c r="G98" s="188">
        <v>210</v>
      </c>
      <c r="H98" s="204">
        <f t="shared" si="26"/>
        <v>210</v>
      </c>
      <c r="I98" s="204">
        <f t="shared" si="27"/>
        <v>910</v>
      </c>
      <c r="J98" s="202"/>
    </row>
    <row r="99" spans="1:10" s="191" customFormat="1" x14ac:dyDescent="0.7">
      <c r="A99" s="253" t="s">
        <v>207</v>
      </c>
      <c r="B99" s="182" t="s">
        <v>197</v>
      </c>
      <c r="C99" s="364">
        <v>1</v>
      </c>
      <c r="D99" s="187" t="s">
        <v>237</v>
      </c>
      <c r="E99" s="288">
        <v>4000</v>
      </c>
      <c r="F99" s="204">
        <f t="shared" si="25"/>
        <v>4000</v>
      </c>
      <c r="G99" s="188">
        <v>800</v>
      </c>
      <c r="H99" s="204">
        <f t="shared" si="26"/>
        <v>800</v>
      </c>
      <c r="I99" s="204">
        <f t="shared" si="27"/>
        <v>4800</v>
      </c>
      <c r="J99" s="202"/>
    </row>
    <row r="100" spans="1:10" s="191" customFormat="1" x14ac:dyDescent="0.7">
      <c r="A100" s="253" t="s">
        <v>208</v>
      </c>
      <c r="B100" s="182" t="s">
        <v>198</v>
      </c>
      <c r="C100" s="364">
        <v>1</v>
      </c>
      <c r="D100" s="187" t="s">
        <v>237</v>
      </c>
      <c r="E100" s="288">
        <v>200</v>
      </c>
      <c r="F100" s="204">
        <f t="shared" si="25"/>
        <v>200</v>
      </c>
      <c r="G100" s="188">
        <v>60</v>
      </c>
      <c r="H100" s="204">
        <f t="shared" si="26"/>
        <v>60</v>
      </c>
      <c r="I100" s="204">
        <f t="shared" si="27"/>
        <v>260</v>
      </c>
      <c r="J100" s="202"/>
    </row>
    <row r="101" spans="1:10" s="191" customFormat="1" x14ac:dyDescent="0.7">
      <c r="A101" s="253" t="s">
        <v>209</v>
      </c>
      <c r="B101" s="182" t="s">
        <v>199</v>
      </c>
      <c r="C101" s="364">
        <v>3</v>
      </c>
      <c r="D101" s="187" t="s">
        <v>23</v>
      </c>
      <c r="E101" s="288">
        <v>1000</v>
      </c>
      <c r="F101" s="204">
        <f t="shared" si="25"/>
        <v>3000</v>
      </c>
      <c r="G101" s="188">
        <v>300</v>
      </c>
      <c r="H101" s="204">
        <f t="shared" si="26"/>
        <v>900</v>
      </c>
      <c r="I101" s="204">
        <f t="shared" si="27"/>
        <v>3900</v>
      </c>
      <c r="J101" s="202"/>
    </row>
    <row r="102" spans="1:10" s="191" customFormat="1" x14ac:dyDescent="0.7">
      <c r="A102" s="253" t="s">
        <v>210</v>
      </c>
      <c r="B102" s="182" t="s">
        <v>200</v>
      </c>
      <c r="C102" s="364">
        <v>1</v>
      </c>
      <c r="D102" s="187" t="s">
        <v>23</v>
      </c>
      <c r="E102" s="288">
        <v>3000</v>
      </c>
      <c r="F102" s="204">
        <f t="shared" si="25"/>
        <v>3000</v>
      </c>
      <c r="G102" s="188">
        <v>800</v>
      </c>
      <c r="H102" s="204">
        <f t="shared" si="26"/>
        <v>800</v>
      </c>
      <c r="I102" s="204">
        <f t="shared" si="27"/>
        <v>3800</v>
      </c>
      <c r="J102" s="202"/>
    </row>
    <row r="103" spans="1:10" s="191" customFormat="1" x14ac:dyDescent="0.7">
      <c r="A103" s="253" t="s">
        <v>211</v>
      </c>
      <c r="B103" s="182" t="s">
        <v>201</v>
      </c>
      <c r="C103" s="364">
        <v>1</v>
      </c>
      <c r="D103" s="187" t="s">
        <v>23</v>
      </c>
      <c r="E103" s="288">
        <v>1000</v>
      </c>
      <c r="F103" s="204">
        <f t="shared" si="25"/>
        <v>1000</v>
      </c>
      <c r="G103" s="188">
        <v>300</v>
      </c>
      <c r="H103" s="204">
        <f t="shared" si="26"/>
        <v>300</v>
      </c>
      <c r="I103" s="204">
        <f t="shared" si="27"/>
        <v>1300</v>
      </c>
      <c r="J103" s="202"/>
    </row>
    <row r="104" spans="1:10" s="191" customFormat="1" x14ac:dyDescent="0.7">
      <c r="A104" s="253" t="s">
        <v>212</v>
      </c>
      <c r="B104" s="182" t="s">
        <v>202</v>
      </c>
      <c r="C104" s="364">
        <v>1</v>
      </c>
      <c r="D104" s="187" t="s">
        <v>42</v>
      </c>
      <c r="E104" s="288">
        <v>3120</v>
      </c>
      <c r="F104" s="204">
        <f t="shared" si="25"/>
        <v>3120</v>
      </c>
      <c r="G104" s="188">
        <v>936</v>
      </c>
      <c r="H104" s="204">
        <f t="shared" si="26"/>
        <v>936</v>
      </c>
      <c r="I104" s="204">
        <f t="shared" si="27"/>
        <v>4056</v>
      </c>
      <c r="J104" s="202"/>
    </row>
    <row r="105" spans="1:10" s="191" customFormat="1" x14ac:dyDescent="0.7">
      <c r="A105" s="247"/>
      <c r="B105" s="252" t="s">
        <v>234</v>
      </c>
      <c r="C105" s="362"/>
      <c r="D105" s="248"/>
      <c r="E105" s="249"/>
      <c r="F105" s="250">
        <f>SUM(F94:F104)</f>
        <v>31239.4</v>
      </c>
      <c r="G105" s="249"/>
      <c r="H105" s="250">
        <f>SUM(H94:H104)</f>
        <v>10323</v>
      </c>
      <c r="I105" s="250">
        <f>SUM(I94:I104)</f>
        <v>41562.400000000001</v>
      </c>
      <c r="J105" s="251"/>
    </row>
    <row r="106" spans="1:10" s="191" customFormat="1" x14ac:dyDescent="0.7">
      <c r="A106" s="246">
        <v>8.4</v>
      </c>
      <c r="B106" s="245" t="s">
        <v>213</v>
      </c>
      <c r="C106" s="360"/>
      <c r="D106" s="241"/>
      <c r="E106" s="242"/>
      <c r="F106" s="243"/>
      <c r="G106" s="242"/>
      <c r="H106" s="243"/>
      <c r="I106" s="243"/>
      <c r="J106" s="202"/>
    </row>
    <row r="107" spans="1:10" s="191" customFormat="1" x14ac:dyDescent="0.7">
      <c r="A107" s="253" t="s">
        <v>214</v>
      </c>
      <c r="B107" s="283" t="s">
        <v>215</v>
      </c>
      <c r="C107" s="364">
        <v>1</v>
      </c>
      <c r="D107" s="187" t="s">
        <v>236</v>
      </c>
      <c r="E107" s="288">
        <v>2509.8000000000002</v>
      </c>
      <c r="F107" s="204">
        <f t="shared" ref="F107:F116" si="28">C107*E107</f>
        <v>2509.8000000000002</v>
      </c>
      <c r="G107" s="188">
        <v>1500</v>
      </c>
      <c r="H107" s="204">
        <f t="shared" ref="H107:H116" si="29">C107*G107</f>
        <v>1500</v>
      </c>
      <c r="I107" s="204">
        <f t="shared" ref="I107:I116" si="30">F107+H107</f>
        <v>4009.8</v>
      </c>
      <c r="J107" s="202"/>
    </row>
    <row r="108" spans="1:10" s="191" customFormat="1" x14ac:dyDescent="0.7">
      <c r="A108" s="253" t="s">
        <v>223</v>
      </c>
      <c r="B108" s="283" t="s">
        <v>216</v>
      </c>
      <c r="C108" s="364">
        <v>1</v>
      </c>
      <c r="D108" s="187" t="s">
        <v>237</v>
      </c>
      <c r="E108" s="288">
        <v>560</v>
      </c>
      <c r="F108" s="204">
        <f t="shared" si="28"/>
        <v>560</v>
      </c>
      <c r="G108" s="188">
        <v>168</v>
      </c>
      <c r="H108" s="204">
        <f t="shared" si="29"/>
        <v>168</v>
      </c>
      <c r="I108" s="204">
        <f t="shared" si="30"/>
        <v>728</v>
      </c>
      <c r="J108" s="202"/>
    </row>
    <row r="109" spans="1:10" s="191" customFormat="1" x14ac:dyDescent="0.7">
      <c r="A109" s="253" t="s">
        <v>224</v>
      </c>
      <c r="B109" s="283" t="s">
        <v>199</v>
      </c>
      <c r="C109" s="364">
        <v>3</v>
      </c>
      <c r="D109" s="187" t="s">
        <v>23</v>
      </c>
      <c r="E109" s="288">
        <v>1000</v>
      </c>
      <c r="F109" s="204">
        <f t="shared" si="28"/>
        <v>3000</v>
      </c>
      <c r="G109" s="188">
        <v>300</v>
      </c>
      <c r="H109" s="204">
        <f t="shared" si="29"/>
        <v>900</v>
      </c>
      <c r="I109" s="204">
        <f t="shared" si="30"/>
        <v>3900</v>
      </c>
      <c r="J109" s="202"/>
    </row>
    <row r="110" spans="1:10" s="191" customFormat="1" x14ac:dyDescent="0.7">
      <c r="A110" s="253" t="s">
        <v>225</v>
      </c>
      <c r="B110" s="283" t="s">
        <v>217</v>
      </c>
      <c r="C110" s="364">
        <v>1</v>
      </c>
      <c r="D110" s="187" t="s">
        <v>237</v>
      </c>
      <c r="E110" s="288">
        <v>4000</v>
      </c>
      <c r="F110" s="204">
        <f t="shared" si="28"/>
        <v>4000</v>
      </c>
      <c r="G110" s="188">
        <v>800</v>
      </c>
      <c r="H110" s="204">
        <f t="shared" si="29"/>
        <v>800</v>
      </c>
      <c r="I110" s="204">
        <f t="shared" si="30"/>
        <v>4800</v>
      </c>
      <c r="J110" s="202"/>
    </row>
    <row r="111" spans="1:10" s="191" customFormat="1" x14ac:dyDescent="0.7">
      <c r="A111" s="253" t="s">
        <v>226</v>
      </c>
      <c r="B111" s="283" t="s">
        <v>218</v>
      </c>
      <c r="C111" s="364">
        <v>1</v>
      </c>
      <c r="D111" s="187" t="s">
        <v>237</v>
      </c>
      <c r="E111" s="288">
        <v>6000</v>
      </c>
      <c r="F111" s="204">
        <f t="shared" si="28"/>
        <v>6000</v>
      </c>
      <c r="G111" s="188">
        <v>800</v>
      </c>
      <c r="H111" s="204">
        <f t="shared" si="29"/>
        <v>800</v>
      </c>
      <c r="I111" s="204">
        <f t="shared" si="30"/>
        <v>6800</v>
      </c>
      <c r="J111" s="202"/>
    </row>
    <row r="112" spans="1:10" s="191" customFormat="1" x14ac:dyDescent="0.7">
      <c r="A112" s="253" t="s">
        <v>227</v>
      </c>
      <c r="B112" s="283" t="s">
        <v>219</v>
      </c>
      <c r="C112" s="364">
        <v>2</v>
      </c>
      <c r="D112" s="187" t="s">
        <v>237</v>
      </c>
      <c r="E112" s="288">
        <v>600</v>
      </c>
      <c r="F112" s="204">
        <f t="shared" si="28"/>
        <v>1200</v>
      </c>
      <c r="G112" s="188">
        <v>180</v>
      </c>
      <c r="H112" s="204">
        <f t="shared" si="29"/>
        <v>360</v>
      </c>
      <c r="I112" s="204">
        <f t="shared" si="30"/>
        <v>1560</v>
      </c>
      <c r="J112" s="202"/>
    </row>
    <row r="113" spans="1:10" s="191" customFormat="1" x14ac:dyDescent="0.7">
      <c r="A113" s="253" t="s">
        <v>228</v>
      </c>
      <c r="B113" s="283" t="s">
        <v>220</v>
      </c>
      <c r="C113" s="364">
        <v>1</v>
      </c>
      <c r="D113" s="187" t="s">
        <v>23</v>
      </c>
      <c r="E113" s="288">
        <v>3000</v>
      </c>
      <c r="F113" s="204">
        <f t="shared" si="28"/>
        <v>3000</v>
      </c>
      <c r="G113" s="188">
        <v>800</v>
      </c>
      <c r="H113" s="204">
        <f t="shared" si="29"/>
        <v>800</v>
      </c>
      <c r="I113" s="204">
        <f t="shared" si="30"/>
        <v>3800</v>
      </c>
      <c r="J113" s="202"/>
    </row>
    <row r="114" spans="1:10" s="191" customFormat="1" x14ac:dyDescent="0.7">
      <c r="A114" s="253" t="s">
        <v>229</v>
      </c>
      <c r="B114" s="283" t="s">
        <v>221</v>
      </c>
      <c r="C114" s="364">
        <v>1</v>
      </c>
      <c r="D114" s="187" t="s">
        <v>237</v>
      </c>
      <c r="E114" s="288">
        <v>2100</v>
      </c>
      <c r="F114" s="204">
        <f t="shared" si="28"/>
        <v>2100</v>
      </c>
      <c r="G114" s="188">
        <v>800</v>
      </c>
      <c r="H114" s="204">
        <f t="shared" si="29"/>
        <v>800</v>
      </c>
      <c r="I114" s="204">
        <f t="shared" si="30"/>
        <v>2900</v>
      </c>
      <c r="J114" s="202"/>
    </row>
    <row r="115" spans="1:10" s="191" customFormat="1" x14ac:dyDescent="0.7">
      <c r="A115" s="253" t="s">
        <v>230</v>
      </c>
      <c r="B115" s="283" t="s">
        <v>222</v>
      </c>
      <c r="C115" s="364">
        <v>1</v>
      </c>
      <c r="D115" s="187" t="s">
        <v>23</v>
      </c>
      <c r="E115" s="288">
        <v>1400</v>
      </c>
      <c r="F115" s="204">
        <f t="shared" si="28"/>
        <v>1400</v>
      </c>
      <c r="G115" s="188">
        <v>420</v>
      </c>
      <c r="H115" s="204">
        <f t="shared" si="29"/>
        <v>420</v>
      </c>
      <c r="I115" s="204">
        <f t="shared" si="30"/>
        <v>1820</v>
      </c>
      <c r="J115" s="202"/>
    </row>
    <row r="116" spans="1:10" s="191" customFormat="1" x14ac:dyDescent="0.7">
      <c r="A116" s="253" t="s">
        <v>231</v>
      </c>
      <c r="B116" s="283" t="s">
        <v>202</v>
      </c>
      <c r="C116" s="364">
        <v>1</v>
      </c>
      <c r="D116" s="187" t="s">
        <v>23</v>
      </c>
      <c r="E116" s="288">
        <v>1040</v>
      </c>
      <c r="F116" s="204">
        <f t="shared" si="28"/>
        <v>1040</v>
      </c>
      <c r="G116" s="188">
        <v>312</v>
      </c>
      <c r="H116" s="204">
        <f t="shared" si="29"/>
        <v>312</v>
      </c>
      <c r="I116" s="204">
        <f t="shared" si="30"/>
        <v>1352</v>
      </c>
      <c r="J116" s="202"/>
    </row>
    <row r="117" spans="1:10" s="191" customFormat="1" x14ac:dyDescent="0.7">
      <c r="A117" s="247"/>
      <c r="B117" s="252" t="s">
        <v>235</v>
      </c>
      <c r="C117" s="362"/>
      <c r="D117" s="248"/>
      <c r="E117" s="249"/>
      <c r="F117" s="250">
        <f>SUM(F107:F116)</f>
        <v>24809.8</v>
      </c>
      <c r="G117" s="249"/>
      <c r="H117" s="250">
        <f>SUM(H107:H116)</f>
        <v>6860</v>
      </c>
      <c r="I117" s="250">
        <f>SUM(I107:I116)</f>
        <v>31669.8</v>
      </c>
      <c r="J117" s="251"/>
    </row>
    <row r="118" spans="1:10" s="191" customFormat="1" x14ac:dyDescent="0.7">
      <c r="A118" s="201">
        <v>8.9</v>
      </c>
      <c r="B118" s="224" t="s">
        <v>365</v>
      </c>
      <c r="C118" s="140"/>
      <c r="D118" s="187"/>
      <c r="E118" s="203"/>
      <c r="F118" s="204"/>
      <c r="G118" s="203"/>
      <c r="H118" s="204"/>
      <c r="I118" s="204"/>
      <c r="J118" s="202"/>
    </row>
    <row r="119" spans="1:10" s="191" customFormat="1" x14ac:dyDescent="0.7">
      <c r="A119" s="201"/>
      <c r="B119" s="224" t="s">
        <v>364</v>
      </c>
      <c r="C119" s="140"/>
      <c r="D119" s="187"/>
      <c r="E119" s="203"/>
      <c r="F119" s="204"/>
      <c r="G119" s="203"/>
      <c r="H119" s="204"/>
      <c r="I119" s="204"/>
      <c r="J119" s="202"/>
    </row>
    <row r="120" spans="1:10" s="191" customFormat="1" x14ac:dyDescent="0.7">
      <c r="A120" s="266" t="s">
        <v>242</v>
      </c>
      <c r="B120" s="182" t="s">
        <v>248</v>
      </c>
      <c r="C120" s="140">
        <v>1</v>
      </c>
      <c r="D120" s="138" t="s">
        <v>23</v>
      </c>
      <c r="E120" s="294">
        <v>2760</v>
      </c>
      <c r="F120" s="198">
        <f t="shared" ref="F120:F137" si="31">C120*E120</f>
        <v>2760</v>
      </c>
      <c r="G120" s="197">
        <v>2000</v>
      </c>
      <c r="H120" s="198">
        <f t="shared" ref="H120:H137" si="32">C120*G120</f>
        <v>2000</v>
      </c>
      <c r="I120" s="198">
        <f t="shared" ref="I120:I137" si="33">SUM(F120,H120)</f>
        <v>4760</v>
      </c>
      <c r="J120" s="202"/>
    </row>
    <row r="121" spans="1:10" s="191" customFormat="1" x14ac:dyDescent="0.7">
      <c r="A121" s="266" t="s">
        <v>243</v>
      </c>
      <c r="B121" s="182" t="s">
        <v>249</v>
      </c>
      <c r="C121" s="222">
        <v>3</v>
      </c>
      <c r="D121" s="138" t="s">
        <v>23</v>
      </c>
      <c r="E121" s="294">
        <v>5800</v>
      </c>
      <c r="F121" s="198">
        <f t="shared" si="31"/>
        <v>17400</v>
      </c>
      <c r="G121" s="197">
        <v>1000</v>
      </c>
      <c r="H121" s="198">
        <f t="shared" si="32"/>
        <v>3000</v>
      </c>
      <c r="I121" s="198">
        <f t="shared" si="33"/>
        <v>20400</v>
      </c>
      <c r="J121" s="202"/>
    </row>
    <row r="122" spans="1:10" s="191" customFormat="1" x14ac:dyDescent="0.7">
      <c r="A122" s="266" t="s">
        <v>244</v>
      </c>
      <c r="B122" s="182" t="s">
        <v>250</v>
      </c>
      <c r="C122" s="140">
        <v>1</v>
      </c>
      <c r="D122" s="138" t="s">
        <v>55</v>
      </c>
      <c r="E122" s="294">
        <v>2000</v>
      </c>
      <c r="F122" s="198">
        <f t="shared" si="31"/>
        <v>2000</v>
      </c>
      <c r="G122" s="197">
        <v>700</v>
      </c>
      <c r="H122" s="198">
        <f t="shared" si="32"/>
        <v>700</v>
      </c>
      <c r="I122" s="198">
        <f t="shared" si="33"/>
        <v>2700</v>
      </c>
      <c r="J122" s="202"/>
    </row>
    <row r="123" spans="1:10" s="191" customFormat="1" x14ac:dyDescent="0.7">
      <c r="A123" s="266" t="s">
        <v>245</v>
      </c>
      <c r="B123" s="182" t="s">
        <v>251</v>
      </c>
      <c r="C123" s="140">
        <v>1</v>
      </c>
      <c r="D123" s="138" t="s">
        <v>55</v>
      </c>
      <c r="E123" s="294">
        <v>2500</v>
      </c>
      <c r="F123" s="198">
        <f t="shared" si="31"/>
        <v>2500</v>
      </c>
      <c r="G123" s="197">
        <v>700</v>
      </c>
      <c r="H123" s="198">
        <f t="shared" si="32"/>
        <v>700</v>
      </c>
      <c r="I123" s="198">
        <f t="shared" si="33"/>
        <v>3200</v>
      </c>
      <c r="J123" s="202"/>
    </row>
    <row r="124" spans="1:10" s="191" customFormat="1" x14ac:dyDescent="0.7">
      <c r="A124" s="266" t="s">
        <v>246</v>
      </c>
      <c r="B124" s="182" t="s">
        <v>252</v>
      </c>
      <c r="C124" s="140">
        <v>1</v>
      </c>
      <c r="D124" s="138" t="s">
        <v>23</v>
      </c>
      <c r="E124" s="294">
        <v>5000</v>
      </c>
      <c r="F124" s="198">
        <f t="shared" si="31"/>
        <v>5000</v>
      </c>
      <c r="G124" s="197">
        <v>1000</v>
      </c>
      <c r="H124" s="198">
        <f t="shared" si="32"/>
        <v>1000</v>
      </c>
      <c r="I124" s="198">
        <f t="shared" si="33"/>
        <v>6000</v>
      </c>
      <c r="J124" s="202"/>
    </row>
    <row r="125" spans="1:10" s="191" customFormat="1" x14ac:dyDescent="0.7">
      <c r="A125" s="266" t="s">
        <v>247</v>
      </c>
      <c r="B125" s="182" t="s">
        <v>253</v>
      </c>
      <c r="C125" s="140">
        <v>50</v>
      </c>
      <c r="D125" s="138" t="s">
        <v>41</v>
      </c>
      <c r="E125" s="294">
        <v>109.7</v>
      </c>
      <c r="F125" s="198">
        <f t="shared" si="31"/>
        <v>5485</v>
      </c>
      <c r="G125" s="197">
        <v>20</v>
      </c>
      <c r="H125" s="198">
        <f t="shared" si="32"/>
        <v>1000</v>
      </c>
      <c r="I125" s="198">
        <f t="shared" si="33"/>
        <v>6485</v>
      </c>
      <c r="J125" s="202"/>
    </row>
    <row r="126" spans="1:10" s="191" customFormat="1" x14ac:dyDescent="0.7">
      <c r="A126" s="266" t="s">
        <v>312</v>
      </c>
      <c r="B126" s="182" t="s">
        <v>311</v>
      </c>
      <c r="C126" s="140">
        <v>1</v>
      </c>
      <c r="D126" s="138" t="s">
        <v>23</v>
      </c>
      <c r="E126" s="294">
        <v>8500</v>
      </c>
      <c r="F126" s="198">
        <f t="shared" si="31"/>
        <v>8500</v>
      </c>
      <c r="G126" s="197"/>
      <c r="H126" s="198">
        <f t="shared" si="32"/>
        <v>0</v>
      </c>
      <c r="I126" s="198">
        <f t="shared" si="33"/>
        <v>8500</v>
      </c>
      <c r="J126" s="202"/>
    </row>
    <row r="127" spans="1:10" s="191" customFormat="1" x14ac:dyDescent="0.7">
      <c r="A127" s="254"/>
      <c r="B127" s="259" t="s">
        <v>238</v>
      </c>
      <c r="C127" s="255"/>
      <c r="D127" s="256"/>
      <c r="E127" s="257"/>
      <c r="F127" s="250">
        <f>SUM(F120:F126)</f>
        <v>43645</v>
      </c>
      <c r="G127" s="257"/>
      <c r="H127" s="250">
        <f>SUM(H120:H126)</f>
        <v>8400</v>
      </c>
      <c r="I127" s="250">
        <f>SUM(I120:I126)</f>
        <v>52045</v>
      </c>
      <c r="J127" s="251"/>
    </row>
    <row r="128" spans="1:10" s="191" customFormat="1" x14ac:dyDescent="0.7">
      <c r="A128" s="267">
        <v>8.1</v>
      </c>
      <c r="B128" s="224" t="s">
        <v>337</v>
      </c>
      <c r="C128" s="140"/>
      <c r="D128" s="138"/>
      <c r="E128" s="197"/>
      <c r="F128" s="198"/>
      <c r="G128" s="197"/>
      <c r="H128" s="198"/>
      <c r="I128" s="198"/>
      <c r="J128" s="202"/>
    </row>
    <row r="129" spans="1:14" s="191" customFormat="1" x14ac:dyDescent="0.7">
      <c r="A129" s="266" t="s">
        <v>254</v>
      </c>
      <c r="B129" s="182" t="s">
        <v>339</v>
      </c>
      <c r="C129" s="140">
        <v>2</v>
      </c>
      <c r="D129" s="138" t="s">
        <v>23</v>
      </c>
      <c r="E129" s="294">
        <v>150000</v>
      </c>
      <c r="F129" s="198">
        <f t="shared" si="31"/>
        <v>300000</v>
      </c>
      <c r="G129" s="197"/>
      <c r="H129" s="198"/>
      <c r="I129" s="198">
        <v>0</v>
      </c>
      <c r="J129" s="202"/>
    </row>
    <row r="130" spans="1:14" s="191" customFormat="1" x14ac:dyDescent="0.7">
      <c r="A130" s="266" t="s">
        <v>255</v>
      </c>
      <c r="B130" s="182" t="s">
        <v>258</v>
      </c>
      <c r="C130" s="222">
        <v>207</v>
      </c>
      <c r="D130" s="138" t="s">
        <v>24</v>
      </c>
      <c r="E130" s="294"/>
      <c r="F130" s="332">
        <f t="shared" si="31"/>
        <v>0</v>
      </c>
      <c r="G130" s="294">
        <v>18</v>
      </c>
      <c r="H130" s="198">
        <f t="shared" si="32"/>
        <v>3726</v>
      </c>
      <c r="I130" s="198">
        <f t="shared" si="33"/>
        <v>3726</v>
      </c>
      <c r="J130" s="202"/>
    </row>
    <row r="131" spans="1:14" s="191" customFormat="1" x14ac:dyDescent="0.7">
      <c r="A131" s="266" t="s">
        <v>256</v>
      </c>
      <c r="B131" s="182" t="s">
        <v>340</v>
      </c>
      <c r="C131" s="222">
        <f>+(7.7*7*1.25)-30</f>
        <v>37.375</v>
      </c>
      <c r="D131" s="138" t="s">
        <v>24</v>
      </c>
      <c r="E131" s="294">
        <v>410</v>
      </c>
      <c r="F131" s="332">
        <f t="shared" si="31"/>
        <v>15323.75</v>
      </c>
      <c r="G131" s="294">
        <v>99</v>
      </c>
      <c r="H131" s="198">
        <f t="shared" si="32"/>
        <v>3700.125</v>
      </c>
      <c r="I131" s="198">
        <f t="shared" si="33"/>
        <v>19023.875</v>
      </c>
      <c r="J131" s="202"/>
    </row>
    <row r="132" spans="1:14" s="191" customFormat="1" x14ac:dyDescent="0.7">
      <c r="A132" s="266" t="s">
        <v>345</v>
      </c>
      <c r="B132" s="182" t="s">
        <v>334</v>
      </c>
      <c r="C132" s="140">
        <f>7.7*7*0.05*1.25</f>
        <v>3.3687500000000004</v>
      </c>
      <c r="D132" s="138" t="s">
        <v>24</v>
      </c>
      <c r="E132" s="294">
        <v>495</v>
      </c>
      <c r="F132" s="332">
        <f t="shared" si="31"/>
        <v>1667.5312500000002</v>
      </c>
      <c r="G132" s="294">
        <v>104</v>
      </c>
      <c r="H132" s="198">
        <f t="shared" si="32"/>
        <v>350.35</v>
      </c>
      <c r="I132" s="198">
        <f t="shared" si="33"/>
        <v>2017.8812500000004</v>
      </c>
      <c r="J132" s="202"/>
    </row>
    <row r="133" spans="1:14" s="191" customFormat="1" x14ac:dyDescent="0.7">
      <c r="A133" s="266" t="s">
        <v>346</v>
      </c>
      <c r="B133" s="182" t="s">
        <v>259</v>
      </c>
      <c r="C133" s="140">
        <f>7.7*7*0.2</f>
        <v>10.780000000000001</v>
      </c>
      <c r="D133" s="138" t="s">
        <v>24</v>
      </c>
      <c r="E133" s="294">
        <v>2151.87</v>
      </c>
      <c r="F133" s="198">
        <f t="shared" si="31"/>
        <v>23197.158600000002</v>
      </c>
      <c r="G133" s="294">
        <v>419</v>
      </c>
      <c r="H133" s="198">
        <f t="shared" si="32"/>
        <v>4516.8200000000006</v>
      </c>
      <c r="I133" s="198">
        <f t="shared" si="33"/>
        <v>27713.978600000002</v>
      </c>
      <c r="J133" s="202"/>
    </row>
    <row r="134" spans="1:14" s="191" customFormat="1" x14ac:dyDescent="0.7">
      <c r="A134" s="266" t="s">
        <v>347</v>
      </c>
      <c r="B134" s="182" t="s">
        <v>260</v>
      </c>
      <c r="C134" s="222">
        <f>77*7*0.888*1.09*2</f>
        <v>1043.41776</v>
      </c>
      <c r="D134" s="138" t="s">
        <v>35</v>
      </c>
      <c r="E134" s="294">
        <v>22.1</v>
      </c>
      <c r="F134" s="295">
        <f t="shared" si="31"/>
        <v>23059.532496000003</v>
      </c>
      <c r="G134" s="294">
        <v>3.6</v>
      </c>
      <c r="H134" s="295">
        <f t="shared" si="32"/>
        <v>3756.3039360000002</v>
      </c>
      <c r="I134" s="295">
        <f t="shared" si="33"/>
        <v>26815.836432000004</v>
      </c>
      <c r="J134" s="202"/>
    </row>
    <row r="135" spans="1:14" s="191" customFormat="1" x14ac:dyDescent="0.7">
      <c r="A135" s="266" t="s">
        <v>348</v>
      </c>
      <c r="B135" s="182" t="s">
        <v>261</v>
      </c>
      <c r="C135" s="140">
        <f>30*C134/1000</f>
        <v>31.302532800000002</v>
      </c>
      <c r="D135" s="138" t="s">
        <v>35</v>
      </c>
      <c r="E135" s="298">
        <v>21.58</v>
      </c>
      <c r="F135" s="284">
        <f t="shared" si="31"/>
        <v>675.50865782400001</v>
      </c>
      <c r="G135" s="298">
        <v>3.6</v>
      </c>
      <c r="H135" s="284">
        <f t="shared" si="32"/>
        <v>112.68911808000001</v>
      </c>
      <c r="I135" s="198">
        <f t="shared" si="33"/>
        <v>788.19777590400008</v>
      </c>
      <c r="J135" s="202"/>
    </row>
    <row r="136" spans="1:14" s="191" customFormat="1" x14ac:dyDescent="0.7">
      <c r="A136" s="266" t="s">
        <v>349</v>
      </c>
      <c r="B136" s="182" t="s">
        <v>335</v>
      </c>
      <c r="C136" s="140">
        <f>+(7.7+7.7+14)*0.2</f>
        <v>5.88</v>
      </c>
      <c r="D136" s="138" t="s">
        <v>25</v>
      </c>
      <c r="E136" s="298">
        <v>451.4</v>
      </c>
      <c r="F136" s="284">
        <f t="shared" si="31"/>
        <v>2654.232</v>
      </c>
      <c r="G136" s="298">
        <v>133</v>
      </c>
      <c r="H136" s="284">
        <f t="shared" si="32"/>
        <v>782.04</v>
      </c>
      <c r="I136" s="198">
        <f t="shared" si="33"/>
        <v>3436.2719999999999</v>
      </c>
      <c r="J136" s="202"/>
    </row>
    <row r="137" spans="1:14" s="191" customFormat="1" x14ac:dyDescent="0.7">
      <c r="A137" s="266" t="s">
        <v>350</v>
      </c>
      <c r="B137" s="182" t="s">
        <v>336</v>
      </c>
      <c r="C137" s="140">
        <v>8</v>
      </c>
      <c r="D137" s="138" t="s">
        <v>84</v>
      </c>
      <c r="E137" s="298">
        <v>250</v>
      </c>
      <c r="F137" s="284">
        <f t="shared" si="31"/>
        <v>2000</v>
      </c>
      <c r="G137" s="298"/>
      <c r="H137" s="284">
        <f t="shared" si="32"/>
        <v>0</v>
      </c>
      <c r="I137" s="198">
        <f t="shared" si="33"/>
        <v>2000</v>
      </c>
      <c r="J137" s="202"/>
    </row>
    <row r="138" spans="1:14" s="191" customFormat="1" x14ac:dyDescent="0.7">
      <c r="A138" s="254"/>
      <c r="B138" s="259" t="s">
        <v>239</v>
      </c>
      <c r="C138" s="255"/>
      <c r="D138" s="256"/>
      <c r="E138" s="257"/>
      <c r="F138" s="250">
        <f>SUM(F129:F137)</f>
        <v>368577.71300382406</v>
      </c>
      <c r="G138" s="257"/>
      <c r="H138" s="250">
        <f>SUM(H130:H137)</f>
        <v>16944.328054080001</v>
      </c>
      <c r="I138" s="250">
        <f>SUM(I129:I137)</f>
        <v>85522.041057904004</v>
      </c>
      <c r="J138" s="251"/>
    </row>
    <row r="139" spans="1:14" s="200" customFormat="1" x14ac:dyDescent="0.7">
      <c r="A139" s="274">
        <v>8.11</v>
      </c>
      <c r="B139" s="273" t="s">
        <v>338</v>
      </c>
      <c r="C139" s="149"/>
      <c r="D139" s="138"/>
      <c r="E139" s="197"/>
      <c r="F139" s="205"/>
      <c r="G139" s="197"/>
      <c r="H139" s="205"/>
      <c r="I139" s="205"/>
      <c r="J139" s="199"/>
      <c r="M139" s="206">
        <f>SUM(I118:I136)</f>
        <v>187612.04105790402</v>
      </c>
    </row>
    <row r="140" spans="1:14" s="200" customFormat="1" x14ac:dyDescent="0.7">
      <c r="A140" s="274" t="s">
        <v>257</v>
      </c>
      <c r="B140" s="273" t="s">
        <v>316</v>
      </c>
      <c r="C140" s="149"/>
      <c r="D140" s="138"/>
      <c r="E140" s="197"/>
      <c r="F140" s="205"/>
      <c r="G140" s="197"/>
      <c r="H140" s="205"/>
      <c r="I140" s="205"/>
      <c r="J140" s="199"/>
      <c r="M140" s="206"/>
    </row>
    <row r="141" spans="1:14" s="200" customFormat="1" x14ac:dyDescent="0.7">
      <c r="A141" s="296" t="s">
        <v>351</v>
      </c>
      <c r="B141" s="277" t="s">
        <v>263</v>
      </c>
      <c r="C141" s="284">
        <v>1.6</v>
      </c>
      <c r="D141" s="297" t="s">
        <v>24</v>
      </c>
      <c r="E141" s="298">
        <v>2115</v>
      </c>
      <c r="F141" s="284">
        <f t="shared" ref="F141:F144" si="34">C141*E141</f>
        <v>3384</v>
      </c>
      <c r="G141" s="298">
        <v>350</v>
      </c>
      <c r="H141" s="284">
        <f t="shared" ref="H141:H145" si="35">C141*G141</f>
        <v>560</v>
      </c>
      <c r="I141" s="292">
        <f t="shared" ref="I141" si="36">F141+H141</f>
        <v>3944</v>
      </c>
      <c r="J141" s="199"/>
      <c r="M141" s="206"/>
    </row>
    <row r="142" spans="1:14" s="336" customFormat="1" x14ac:dyDescent="0.7">
      <c r="A142" s="296" t="s">
        <v>352</v>
      </c>
      <c r="B142" s="277" t="s">
        <v>260</v>
      </c>
      <c r="C142" s="284">
        <f>1.2*10*0.888*1.09</f>
        <v>11.615040000000002</v>
      </c>
      <c r="D142" s="297" t="s">
        <v>35</v>
      </c>
      <c r="E142" s="294">
        <v>22.1</v>
      </c>
      <c r="F142" s="295">
        <f t="shared" si="34"/>
        <v>256.69238400000006</v>
      </c>
      <c r="G142" s="294">
        <v>3.6</v>
      </c>
      <c r="H142" s="295">
        <f t="shared" si="35"/>
        <v>41.814144000000006</v>
      </c>
      <c r="I142" s="295">
        <f t="shared" ref="I142:I144" si="37">SUM(F142,H142)</f>
        <v>298.50652800000006</v>
      </c>
      <c r="J142" s="335"/>
      <c r="M142" s="337"/>
    </row>
    <row r="143" spans="1:14" s="200" customFormat="1" x14ac:dyDescent="0.7">
      <c r="A143" s="296" t="s">
        <v>353</v>
      </c>
      <c r="B143" s="277" t="s">
        <v>262</v>
      </c>
      <c r="C143" s="284">
        <f>((0.2*0.8*4*4)+(0.2*0.8*4*6))</f>
        <v>6.4000000000000012</v>
      </c>
      <c r="D143" s="297" t="s">
        <v>25</v>
      </c>
      <c r="E143" s="298">
        <v>451.4</v>
      </c>
      <c r="F143" s="284">
        <f t="shared" si="34"/>
        <v>2888.9600000000005</v>
      </c>
      <c r="G143" s="298">
        <v>133</v>
      </c>
      <c r="H143" s="284">
        <f t="shared" si="35"/>
        <v>851.20000000000016</v>
      </c>
      <c r="I143" s="295">
        <f t="shared" si="37"/>
        <v>3740.1600000000008</v>
      </c>
      <c r="J143" s="199"/>
      <c r="M143" s="206"/>
    </row>
    <row r="144" spans="1:14" s="325" customFormat="1" x14ac:dyDescent="0.7">
      <c r="A144" s="296" t="s">
        <v>372</v>
      </c>
      <c r="B144" s="283" t="s">
        <v>261</v>
      </c>
      <c r="C144" s="225">
        <f>(C142/1000)*30</f>
        <v>0.34845120000000007</v>
      </c>
      <c r="D144" s="289" t="s">
        <v>35</v>
      </c>
      <c r="E144" s="188">
        <v>21.58</v>
      </c>
      <c r="F144" s="186">
        <f t="shared" si="34"/>
        <v>7.5195768960000011</v>
      </c>
      <c r="G144" s="188">
        <v>4.0999999999999996</v>
      </c>
      <c r="H144" s="186">
        <f t="shared" si="35"/>
        <v>1.4286499200000002</v>
      </c>
      <c r="I144" s="186">
        <f t="shared" si="37"/>
        <v>8.9482268160000018</v>
      </c>
      <c r="J144" s="202"/>
      <c r="M144" s="326">
        <f>C142+C147+C148+C154+C155+C161+C168+C169+C175</f>
        <v>1507.1449464000002</v>
      </c>
      <c r="N144" s="326">
        <f>M144/1000</f>
        <v>1.5071449464000002</v>
      </c>
    </row>
    <row r="145" spans="1:13" s="325" customFormat="1" x14ac:dyDescent="0.7">
      <c r="A145" s="296" t="s">
        <v>373</v>
      </c>
      <c r="B145" s="283" t="s">
        <v>300</v>
      </c>
      <c r="C145" s="225">
        <f>C143/0.25</f>
        <v>25.600000000000005</v>
      </c>
      <c r="D145" s="289" t="s">
        <v>35</v>
      </c>
      <c r="E145" s="188">
        <v>46.42</v>
      </c>
      <c r="F145" s="186">
        <f>C145*E145</f>
        <v>1188.3520000000003</v>
      </c>
      <c r="G145" s="188"/>
      <c r="H145" s="186">
        <f t="shared" si="35"/>
        <v>0</v>
      </c>
      <c r="I145" s="186">
        <f>F145+H145</f>
        <v>1188.3520000000003</v>
      </c>
      <c r="J145" s="202"/>
      <c r="M145" s="326"/>
    </row>
    <row r="146" spans="1:13" s="200" customFormat="1" x14ac:dyDescent="0.7">
      <c r="A146" s="274" t="s">
        <v>377</v>
      </c>
      <c r="B146" s="299" t="s">
        <v>317</v>
      </c>
      <c r="C146" s="282"/>
      <c r="D146" s="138"/>
      <c r="E146" s="285"/>
      <c r="F146" s="149"/>
      <c r="G146" s="285"/>
      <c r="H146" s="149"/>
      <c r="I146" s="205"/>
      <c r="J146" s="199"/>
      <c r="M146" s="206"/>
    </row>
    <row r="147" spans="1:13" s="336" customFormat="1" x14ac:dyDescent="0.7">
      <c r="A147" s="334" t="s">
        <v>378</v>
      </c>
      <c r="B147" s="277" t="s">
        <v>313</v>
      </c>
      <c r="C147" s="284">
        <f>((0.2*4)*(3.45/0.15)*4*0.222*1.05)+((0.2*4)*(0.5/0.15)*6*0.222*1.05)</f>
        <v>20.885760000000005</v>
      </c>
      <c r="D147" s="297" t="s">
        <v>35</v>
      </c>
      <c r="E147" s="294">
        <v>22.75</v>
      </c>
      <c r="F147" s="295">
        <f t="shared" ref="F147:F151" si="38">C147*E147</f>
        <v>475.15104000000008</v>
      </c>
      <c r="G147" s="294">
        <v>4.4000000000000004</v>
      </c>
      <c r="H147" s="295">
        <f t="shared" ref="H147:H152" si="39">C147*G147</f>
        <v>91.897344000000032</v>
      </c>
      <c r="I147" s="295">
        <f t="shared" ref="I147:I148" si="40">SUM(F147,H147)</f>
        <v>567.04838400000017</v>
      </c>
      <c r="J147" s="335"/>
      <c r="M147" s="337"/>
    </row>
    <row r="148" spans="1:13" s="200" customFormat="1" x14ac:dyDescent="0.7">
      <c r="A148" s="334" t="s">
        <v>379</v>
      </c>
      <c r="B148" s="277" t="s">
        <v>260</v>
      </c>
      <c r="C148" s="284">
        <f>((3.45+0.2+0.4)*6*4*0.888*1.09)+((0.4+0.2+0.5)*6*6*0.888*1.09)</f>
        <v>132.41145600000004</v>
      </c>
      <c r="D148" s="297" t="s">
        <v>35</v>
      </c>
      <c r="E148" s="294">
        <v>22.1</v>
      </c>
      <c r="F148" s="295">
        <f t="shared" si="38"/>
        <v>2926.2931776000009</v>
      </c>
      <c r="G148" s="294">
        <v>3.6</v>
      </c>
      <c r="H148" s="295">
        <f t="shared" si="39"/>
        <v>476.68124160000019</v>
      </c>
      <c r="I148" s="295">
        <f t="shared" si="40"/>
        <v>3402.9744192000012</v>
      </c>
      <c r="J148" s="207"/>
      <c r="M148" s="206"/>
    </row>
    <row r="149" spans="1:13" s="200" customFormat="1" x14ac:dyDescent="0.7">
      <c r="A149" s="334" t="s">
        <v>380</v>
      </c>
      <c r="B149" s="277" t="s">
        <v>263</v>
      </c>
      <c r="C149" s="284">
        <f>ROUND((3.45*0.2*0.2*4)+(0.5*0.2*0.2*6),0)</f>
        <v>1</v>
      </c>
      <c r="D149" s="297" t="s">
        <v>24</v>
      </c>
      <c r="E149" s="298">
        <v>2115</v>
      </c>
      <c r="F149" s="284">
        <f t="shared" si="38"/>
        <v>2115</v>
      </c>
      <c r="G149" s="298">
        <v>350</v>
      </c>
      <c r="H149" s="284">
        <f t="shared" si="39"/>
        <v>350</v>
      </c>
      <c r="I149" s="292">
        <f t="shared" ref="I149" si="41">F149+H149</f>
        <v>2465</v>
      </c>
      <c r="J149" s="199"/>
      <c r="M149" s="206"/>
    </row>
    <row r="150" spans="1:13" s="200" customFormat="1" x14ac:dyDescent="0.7">
      <c r="A150" s="334" t="s">
        <v>381</v>
      </c>
      <c r="B150" s="277" t="s">
        <v>262</v>
      </c>
      <c r="C150" s="284">
        <f>((0.2*3.45*4*4)+(0.2*0.5*4*6))*0.7</f>
        <v>9.4079999999999995</v>
      </c>
      <c r="D150" s="297" t="s">
        <v>25</v>
      </c>
      <c r="E150" s="298">
        <v>451.4</v>
      </c>
      <c r="F150" s="284">
        <f t="shared" si="38"/>
        <v>4246.7711999999992</v>
      </c>
      <c r="G150" s="298">
        <v>133</v>
      </c>
      <c r="H150" s="284">
        <f t="shared" si="39"/>
        <v>1251.2639999999999</v>
      </c>
      <c r="I150" s="295">
        <f t="shared" ref="I150:I151" si="42">SUM(F150,H150)</f>
        <v>5498.0351999999993</v>
      </c>
      <c r="J150" s="199"/>
      <c r="M150" s="206"/>
    </row>
    <row r="151" spans="1:13" s="325" customFormat="1" x14ac:dyDescent="0.7">
      <c r="A151" s="334" t="s">
        <v>382</v>
      </c>
      <c r="B151" s="283" t="s">
        <v>261</v>
      </c>
      <c r="C151" s="225">
        <f>((C147+C148)/1000*30)</f>
        <v>4.5989164800000015</v>
      </c>
      <c r="D151" s="289" t="s">
        <v>35</v>
      </c>
      <c r="E151" s="188">
        <v>21.58</v>
      </c>
      <c r="F151" s="186">
        <f t="shared" si="38"/>
        <v>99.24461763840003</v>
      </c>
      <c r="G151" s="188">
        <v>4.0999999999999996</v>
      </c>
      <c r="H151" s="186">
        <f t="shared" si="39"/>
        <v>18.855557568000005</v>
      </c>
      <c r="I151" s="186">
        <f t="shared" si="42"/>
        <v>118.10017520640004</v>
      </c>
      <c r="J151" s="202"/>
      <c r="M151" s="326"/>
    </row>
    <row r="152" spans="1:13" s="325" customFormat="1" x14ac:dyDescent="0.7">
      <c r="A152" s="334" t="s">
        <v>383</v>
      </c>
      <c r="B152" s="283" t="s">
        <v>300</v>
      </c>
      <c r="C152" s="225">
        <f>C150/0.25</f>
        <v>37.631999999999998</v>
      </c>
      <c r="D152" s="289" t="s">
        <v>35</v>
      </c>
      <c r="E152" s="188">
        <v>46.42</v>
      </c>
      <c r="F152" s="186">
        <f>C152*E152</f>
        <v>1746.87744</v>
      </c>
      <c r="G152" s="188"/>
      <c r="H152" s="186">
        <f t="shared" si="39"/>
        <v>0</v>
      </c>
      <c r="I152" s="186">
        <f>F152+H152</f>
        <v>1746.87744</v>
      </c>
      <c r="J152" s="202"/>
      <c r="M152" s="326"/>
    </row>
    <row r="153" spans="1:13" s="200" customFormat="1" x14ac:dyDescent="0.7">
      <c r="A153" s="300" t="s">
        <v>384</v>
      </c>
      <c r="B153" s="299" t="s">
        <v>318</v>
      </c>
      <c r="C153" s="284"/>
      <c r="D153" s="297"/>
      <c r="E153" s="298"/>
      <c r="F153" s="284"/>
      <c r="G153" s="298"/>
      <c r="H153" s="284"/>
      <c r="I153" s="295"/>
      <c r="J153" s="199"/>
      <c r="M153" s="206"/>
    </row>
    <row r="154" spans="1:13" s="336" customFormat="1" x14ac:dyDescent="0.7">
      <c r="A154" s="334" t="s">
        <v>385</v>
      </c>
      <c r="B154" s="277" t="s">
        <v>313</v>
      </c>
      <c r="C154" s="284">
        <f>(1.2*(12.56/0.15)*0.222*1.05)+(1.2*(4.55/0.15)*0.222*1.05)+(1.2*(5.96/0.15)*0.222*1.05)</f>
        <v>43.020936000000006</v>
      </c>
      <c r="D154" s="297" t="s">
        <v>35</v>
      </c>
      <c r="E154" s="294">
        <v>22.75</v>
      </c>
      <c r="F154" s="295">
        <f t="shared" ref="F154:F158" si="43">C154*E154</f>
        <v>978.72629400000017</v>
      </c>
      <c r="G154" s="294">
        <v>4.4000000000000004</v>
      </c>
      <c r="H154" s="295">
        <f t="shared" ref="H154:H159" si="44">C154*G154</f>
        <v>189.29211840000005</v>
      </c>
      <c r="I154" s="295">
        <f t="shared" ref="I154:I155" si="45">SUM(F154,H154)</f>
        <v>1168.0184124000002</v>
      </c>
      <c r="J154" s="335"/>
      <c r="M154" s="337"/>
    </row>
    <row r="155" spans="1:13" s="336" customFormat="1" x14ac:dyDescent="0.7">
      <c r="A155" s="334" t="s">
        <v>386</v>
      </c>
      <c r="B155" s="277" t="s">
        <v>315</v>
      </c>
      <c r="C155" s="284">
        <f>((12.56*6*1.58)+(4.55*6*1.58)+(5.96*6*1.58))*1.11</f>
        <v>242.76099600000003</v>
      </c>
      <c r="D155" s="297" t="s">
        <v>35</v>
      </c>
      <c r="E155" s="294">
        <v>21.9</v>
      </c>
      <c r="F155" s="295">
        <f t="shared" si="43"/>
        <v>5316.4658124000007</v>
      </c>
      <c r="G155" s="294">
        <v>3.6</v>
      </c>
      <c r="H155" s="295">
        <f t="shared" si="44"/>
        <v>873.9395856000001</v>
      </c>
      <c r="I155" s="295">
        <f t="shared" si="45"/>
        <v>6190.4053980000008</v>
      </c>
      <c r="J155" s="335"/>
      <c r="M155" s="337"/>
    </row>
    <row r="156" spans="1:13" s="200" customFormat="1" x14ac:dyDescent="0.7">
      <c r="A156" s="334" t="s">
        <v>387</v>
      </c>
      <c r="B156" s="277" t="s">
        <v>263</v>
      </c>
      <c r="C156" s="284">
        <f>ROUNDUP((12.56*0.2*0.4)+(4.55*0.2*0.4)+(5.96*0.2*0.4),0)</f>
        <v>2</v>
      </c>
      <c r="D156" s="297" t="s">
        <v>24</v>
      </c>
      <c r="E156" s="298">
        <v>2115</v>
      </c>
      <c r="F156" s="284">
        <f t="shared" si="43"/>
        <v>4230</v>
      </c>
      <c r="G156" s="298">
        <v>350</v>
      </c>
      <c r="H156" s="284">
        <f t="shared" si="44"/>
        <v>700</v>
      </c>
      <c r="I156" s="292">
        <f t="shared" ref="I156" si="46">F156+H156</f>
        <v>4930</v>
      </c>
      <c r="J156" s="199"/>
      <c r="M156" s="206"/>
    </row>
    <row r="157" spans="1:13" s="200" customFormat="1" x14ac:dyDescent="0.7">
      <c r="A157" s="334" t="s">
        <v>388</v>
      </c>
      <c r="B157" s="277" t="s">
        <v>262</v>
      </c>
      <c r="C157" s="284">
        <f>(12.56+4.55+5.96)*0.4*2*0.7</f>
        <v>12.919199999999998</v>
      </c>
      <c r="D157" s="297" t="s">
        <v>25</v>
      </c>
      <c r="E157" s="298">
        <v>451.4</v>
      </c>
      <c r="F157" s="284">
        <f t="shared" si="43"/>
        <v>5831.7268799999993</v>
      </c>
      <c r="G157" s="298">
        <v>133</v>
      </c>
      <c r="H157" s="284">
        <f t="shared" si="44"/>
        <v>1718.2535999999998</v>
      </c>
      <c r="I157" s="295">
        <f t="shared" ref="I157:I158" si="47">SUM(F157,H157)</f>
        <v>7549.9804799999993</v>
      </c>
      <c r="J157" s="199"/>
      <c r="M157" s="206"/>
    </row>
    <row r="158" spans="1:13" s="325" customFormat="1" x14ac:dyDescent="0.7">
      <c r="A158" s="334" t="s">
        <v>389</v>
      </c>
      <c r="B158" s="283" t="s">
        <v>261</v>
      </c>
      <c r="C158" s="225">
        <f>((C154+C155)/1000*30)</f>
        <v>8.5734579600000007</v>
      </c>
      <c r="D158" s="289" t="s">
        <v>35</v>
      </c>
      <c r="E158" s="188">
        <v>21.58</v>
      </c>
      <c r="F158" s="186">
        <f t="shared" si="43"/>
        <v>185.01522277679999</v>
      </c>
      <c r="G158" s="188">
        <v>4.0999999999999996</v>
      </c>
      <c r="H158" s="186">
        <f t="shared" si="44"/>
        <v>35.151177636</v>
      </c>
      <c r="I158" s="186">
        <f t="shared" si="47"/>
        <v>220.16640041279999</v>
      </c>
      <c r="J158" s="202"/>
      <c r="M158" s="326"/>
    </row>
    <row r="159" spans="1:13" s="325" customFormat="1" x14ac:dyDescent="0.7">
      <c r="A159" s="334" t="s">
        <v>390</v>
      </c>
      <c r="B159" s="283" t="s">
        <v>300</v>
      </c>
      <c r="C159" s="225">
        <f>C157/0.25</f>
        <v>51.676799999999993</v>
      </c>
      <c r="D159" s="289" t="s">
        <v>35</v>
      </c>
      <c r="E159" s="188">
        <v>46.42</v>
      </c>
      <c r="F159" s="186">
        <f>C159*E159</f>
        <v>2398.8370559999998</v>
      </c>
      <c r="G159" s="188"/>
      <c r="H159" s="186">
        <f t="shared" si="44"/>
        <v>0</v>
      </c>
      <c r="I159" s="186">
        <f>F159+H159</f>
        <v>2398.8370559999998</v>
      </c>
      <c r="J159" s="202"/>
      <c r="M159" s="326"/>
    </row>
    <row r="160" spans="1:13" s="325" customFormat="1" x14ac:dyDescent="0.7">
      <c r="A160" s="327" t="s">
        <v>391</v>
      </c>
      <c r="B160" s="328" t="s">
        <v>319</v>
      </c>
      <c r="C160" s="225"/>
      <c r="D160" s="289"/>
      <c r="E160" s="288"/>
      <c r="F160" s="225"/>
      <c r="G160" s="288"/>
      <c r="H160" s="225"/>
      <c r="I160" s="290"/>
      <c r="J160" s="202"/>
      <c r="M160" s="326"/>
    </row>
    <row r="161" spans="1:13" s="340" customFormat="1" x14ac:dyDescent="0.7">
      <c r="A161" s="338" t="s">
        <v>392</v>
      </c>
      <c r="B161" s="283" t="s">
        <v>260</v>
      </c>
      <c r="C161" s="225">
        <f>((58.25*2)+5.6)*4*0.888*1.09</f>
        <v>472.73212799999999</v>
      </c>
      <c r="D161" s="289" t="s">
        <v>35</v>
      </c>
      <c r="E161" s="294">
        <v>22.1</v>
      </c>
      <c r="F161" s="295">
        <f t="shared" ref="F161:F165" si="48">C161*E161</f>
        <v>10447.3800288</v>
      </c>
      <c r="G161" s="294">
        <v>3.6</v>
      </c>
      <c r="H161" s="295">
        <f t="shared" ref="H161:H166" si="49">C161*G161</f>
        <v>1701.8356607999999</v>
      </c>
      <c r="I161" s="295">
        <f t="shared" ref="I161" si="50">SUM(F161,H161)</f>
        <v>12149.2156896</v>
      </c>
      <c r="J161" s="339"/>
      <c r="M161" s="341"/>
    </row>
    <row r="162" spans="1:13" s="325" customFormat="1" x14ac:dyDescent="0.7">
      <c r="A162" s="338" t="s">
        <v>393</v>
      </c>
      <c r="B162" s="283" t="s">
        <v>263</v>
      </c>
      <c r="C162" s="225">
        <f>ROUNDUP((3.14*2.8*2.8*0.15),0)</f>
        <v>4</v>
      </c>
      <c r="D162" s="289" t="s">
        <v>24</v>
      </c>
      <c r="E162" s="288">
        <v>2115</v>
      </c>
      <c r="F162" s="225">
        <f t="shared" si="48"/>
        <v>8460</v>
      </c>
      <c r="G162" s="288">
        <v>350</v>
      </c>
      <c r="H162" s="225">
        <f t="shared" si="49"/>
        <v>1400</v>
      </c>
      <c r="I162" s="292">
        <f t="shared" ref="I162" si="51">F162+H162</f>
        <v>9860</v>
      </c>
      <c r="J162" s="202"/>
      <c r="M162" s="326"/>
    </row>
    <row r="163" spans="1:13" s="325" customFormat="1" x14ac:dyDescent="0.7">
      <c r="A163" s="338" t="s">
        <v>394</v>
      </c>
      <c r="B163" s="283" t="s">
        <v>262</v>
      </c>
      <c r="C163" s="225">
        <f>17.6*0.15*0.7</f>
        <v>1.8479999999999999</v>
      </c>
      <c r="D163" s="289" t="s">
        <v>25</v>
      </c>
      <c r="E163" s="288">
        <v>451.4</v>
      </c>
      <c r="F163" s="225">
        <f t="shared" si="48"/>
        <v>834.18719999999985</v>
      </c>
      <c r="G163" s="288">
        <v>133</v>
      </c>
      <c r="H163" s="225">
        <f t="shared" si="49"/>
        <v>245.78399999999999</v>
      </c>
      <c r="I163" s="290">
        <f t="shared" ref="I163:I165" si="52">SUM(F163,H163)</f>
        <v>1079.9712</v>
      </c>
      <c r="J163" s="202"/>
      <c r="M163" s="326"/>
    </row>
    <row r="164" spans="1:13" s="325" customFormat="1" x14ac:dyDescent="0.7">
      <c r="A164" s="338" t="s">
        <v>395</v>
      </c>
      <c r="B164" s="283" t="s">
        <v>430</v>
      </c>
      <c r="C164" s="225">
        <f>2.8*1.25</f>
        <v>3.5</v>
      </c>
      <c r="D164" s="289" t="s">
        <v>24</v>
      </c>
      <c r="E164" s="288">
        <v>500</v>
      </c>
      <c r="F164" s="225">
        <f t="shared" si="48"/>
        <v>1750</v>
      </c>
      <c r="G164" s="288">
        <v>50</v>
      </c>
      <c r="H164" s="225">
        <f t="shared" si="49"/>
        <v>175</v>
      </c>
      <c r="I164" s="290">
        <f t="shared" si="52"/>
        <v>1925</v>
      </c>
      <c r="J164" s="202"/>
      <c r="M164" s="326"/>
    </row>
    <row r="165" spans="1:13" s="325" customFormat="1" x14ac:dyDescent="0.7">
      <c r="A165" s="338" t="s">
        <v>396</v>
      </c>
      <c r="B165" s="283" t="s">
        <v>261</v>
      </c>
      <c r="C165" s="225">
        <f>C161/1000*30</f>
        <v>14.18196384</v>
      </c>
      <c r="D165" s="289" t="s">
        <v>35</v>
      </c>
      <c r="E165" s="188">
        <v>21.58</v>
      </c>
      <c r="F165" s="186">
        <f t="shared" si="48"/>
        <v>306.04677966719998</v>
      </c>
      <c r="G165" s="188">
        <v>4.0999999999999996</v>
      </c>
      <c r="H165" s="186">
        <f t="shared" si="49"/>
        <v>58.146051743999998</v>
      </c>
      <c r="I165" s="186">
        <f t="shared" si="52"/>
        <v>364.19283141119996</v>
      </c>
      <c r="J165" s="202"/>
      <c r="M165" s="326"/>
    </row>
    <row r="166" spans="1:13" s="325" customFormat="1" x14ac:dyDescent="0.7">
      <c r="A166" s="338" t="s">
        <v>429</v>
      </c>
      <c r="B166" s="283" t="s">
        <v>300</v>
      </c>
      <c r="C166" s="225">
        <f>C163/0.25</f>
        <v>7.3919999999999995</v>
      </c>
      <c r="D166" s="289" t="s">
        <v>35</v>
      </c>
      <c r="E166" s="188">
        <v>46.42</v>
      </c>
      <c r="F166" s="186">
        <f>C166*E166</f>
        <v>343.13664</v>
      </c>
      <c r="G166" s="188"/>
      <c r="H166" s="186">
        <f t="shared" si="49"/>
        <v>0</v>
      </c>
      <c r="I166" s="186">
        <f>F166+H166</f>
        <v>343.13664</v>
      </c>
      <c r="J166" s="202"/>
      <c r="M166" s="326"/>
    </row>
    <row r="167" spans="1:13" s="200" customFormat="1" x14ac:dyDescent="0.7">
      <c r="A167" s="300" t="s">
        <v>397</v>
      </c>
      <c r="B167" s="299" t="s">
        <v>320</v>
      </c>
      <c r="C167" s="284"/>
      <c r="D167" s="297"/>
      <c r="E167" s="298"/>
      <c r="F167" s="284"/>
      <c r="G167" s="298"/>
      <c r="H167" s="284"/>
      <c r="I167" s="295"/>
      <c r="J167" s="199"/>
      <c r="M167" s="206"/>
    </row>
    <row r="168" spans="1:13" s="200" customFormat="1" x14ac:dyDescent="0.7">
      <c r="A168" s="334" t="s">
        <v>398</v>
      </c>
      <c r="B168" s="277" t="s">
        <v>313</v>
      </c>
      <c r="C168" s="284">
        <f>1.2*(12.56/0.15)*0.222*1.05</f>
        <v>23.421888000000003</v>
      </c>
      <c r="D168" s="297" t="s">
        <v>35</v>
      </c>
      <c r="E168" s="294">
        <v>22.75</v>
      </c>
      <c r="F168" s="295">
        <f t="shared" ref="F168:F172" si="53">C168*E168</f>
        <v>532.84795200000008</v>
      </c>
      <c r="G168" s="294">
        <v>4.4000000000000004</v>
      </c>
      <c r="H168" s="295">
        <f t="shared" ref="H168:H173" si="54">C168*G168</f>
        <v>103.05630720000002</v>
      </c>
      <c r="I168" s="295">
        <f t="shared" ref="I168:I169" si="55">SUM(F168,H168)</f>
        <v>635.90425920000007</v>
      </c>
      <c r="J168" s="207"/>
      <c r="M168" s="206"/>
    </row>
    <row r="169" spans="1:13" s="200" customFormat="1" x14ac:dyDescent="0.7">
      <c r="A169" s="334" t="s">
        <v>399</v>
      </c>
      <c r="B169" s="277" t="s">
        <v>315</v>
      </c>
      <c r="C169" s="284">
        <f>(12.56*6*1.58)*1.11</f>
        <v>132.16636800000003</v>
      </c>
      <c r="D169" s="297" t="s">
        <v>35</v>
      </c>
      <c r="E169" s="294">
        <v>21.9</v>
      </c>
      <c r="F169" s="295">
        <f t="shared" si="53"/>
        <v>2894.4434592000007</v>
      </c>
      <c r="G169" s="294">
        <v>3.6</v>
      </c>
      <c r="H169" s="295">
        <f t="shared" si="54"/>
        <v>475.79892480000012</v>
      </c>
      <c r="I169" s="295">
        <f t="shared" si="55"/>
        <v>3370.242384000001</v>
      </c>
      <c r="J169" s="207"/>
      <c r="M169" s="206"/>
    </row>
    <row r="170" spans="1:13" s="200" customFormat="1" x14ac:dyDescent="0.7">
      <c r="A170" s="334" t="s">
        <v>400</v>
      </c>
      <c r="B170" s="277" t="s">
        <v>263</v>
      </c>
      <c r="C170" s="284">
        <f>12.56*0.4*0.2</f>
        <v>1.0048000000000001</v>
      </c>
      <c r="D170" s="297" t="s">
        <v>24</v>
      </c>
      <c r="E170" s="298">
        <v>2115</v>
      </c>
      <c r="F170" s="284">
        <f t="shared" si="53"/>
        <v>2125.1520000000005</v>
      </c>
      <c r="G170" s="298">
        <v>350</v>
      </c>
      <c r="H170" s="284">
        <f t="shared" si="54"/>
        <v>351.68000000000006</v>
      </c>
      <c r="I170" s="292">
        <f t="shared" ref="I170" si="56">F170+H170</f>
        <v>2476.8320000000003</v>
      </c>
      <c r="J170" s="199"/>
      <c r="M170" s="206"/>
    </row>
    <row r="171" spans="1:13" s="200" customFormat="1" x14ac:dyDescent="0.7">
      <c r="A171" s="334" t="s">
        <v>401</v>
      </c>
      <c r="B171" s="277" t="s">
        <v>262</v>
      </c>
      <c r="C171" s="284">
        <f>12.56*(0.4+0.2+0.4)*0.7</f>
        <v>8.7919999999999998</v>
      </c>
      <c r="D171" s="297" t="s">
        <v>25</v>
      </c>
      <c r="E171" s="298">
        <v>451.4</v>
      </c>
      <c r="F171" s="284">
        <f t="shared" si="53"/>
        <v>3968.7087999999999</v>
      </c>
      <c r="G171" s="298">
        <v>133</v>
      </c>
      <c r="H171" s="284">
        <f t="shared" si="54"/>
        <v>1169.336</v>
      </c>
      <c r="I171" s="295">
        <f t="shared" ref="I171:I172" si="57">SUM(F171,H171)</f>
        <v>5138.0447999999997</v>
      </c>
      <c r="J171" s="199"/>
      <c r="M171" s="206"/>
    </row>
    <row r="172" spans="1:13" s="325" customFormat="1" x14ac:dyDescent="0.7">
      <c r="A172" s="334" t="s">
        <v>402</v>
      </c>
      <c r="B172" s="283" t="s">
        <v>261</v>
      </c>
      <c r="C172" s="225">
        <f>(C168+C169)/1000*30</f>
        <v>4.6676476800000009</v>
      </c>
      <c r="D172" s="289" t="s">
        <v>35</v>
      </c>
      <c r="E172" s="188">
        <v>21.58</v>
      </c>
      <c r="F172" s="186">
        <f t="shared" si="53"/>
        <v>100.72783693440002</v>
      </c>
      <c r="G172" s="188">
        <v>4.0999999999999996</v>
      </c>
      <c r="H172" s="186">
        <f t="shared" si="54"/>
        <v>19.137355488000001</v>
      </c>
      <c r="I172" s="186">
        <f t="shared" si="57"/>
        <v>119.86519242240001</v>
      </c>
      <c r="J172" s="202"/>
      <c r="M172" s="326"/>
    </row>
    <row r="173" spans="1:13" s="325" customFormat="1" x14ac:dyDescent="0.7">
      <c r="A173" s="334" t="s">
        <v>403</v>
      </c>
      <c r="B173" s="283" t="s">
        <v>300</v>
      </c>
      <c r="C173" s="225">
        <f>C171/0.25</f>
        <v>35.167999999999999</v>
      </c>
      <c r="D173" s="289" t="s">
        <v>35</v>
      </c>
      <c r="E173" s="188">
        <v>46.42</v>
      </c>
      <c r="F173" s="186">
        <f>C173*E173</f>
        <v>1632.49856</v>
      </c>
      <c r="G173" s="188"/>
      <c r="H173" s="186">
        <f t="shared" si="54"/>
        <v>0</v>
      </c>
      <c r="I173" s="186">
        <f>F173+H173</f>
        <v>1632.49856</v>
      </c>
      <c r="J173" s="202"/>
      <c r="M173" s="326"/>
    </row>
    <row r="174" spans="1:13" s="200" customFormat="1" x14ac:dyDescent="0.7">
      <c r="A174" s="300" t="s">
        <v>404</v>
      </c>
      <c r="B174" s="299" t="s">
        <v>321</v>
      </c>
      <c r="C174" s="284"/>
      <c r="D174" s="297"/>
      <c r="E174" s="298"/>
      <c r="F174" s="284"/>
      <c r="G174" s="298"/>
      <c r="H174" s="284"/>
      <c r="I174" s="295"/>
      <c r="J174" s="199"/>
      <c r="M174" s="206"/>
    </row>
    <row r="175" spans="1:13" s="325" customFormat="1" x14ac:dyDescent="0.7">
      <c r="A175" s="338" t="s">
        <v>405</v>
      </c>
      <c r="B175" s="283" t="s">
        <v>260</v>
      </c>
      <c r="C175" s="225">
        <f>((52.64*2)+5.3)*4*0.888*1.09</f>
        <v>428.13037440000005</v>
      </c>
      <c r="D175" s="289" t="s">
        <v>35</v>
      </c>
      <c r="E175" s="294">
        <v>22.1</v>
      </c>
      <c r="F175" s="295">
        <f t="shared" ref="F175:F181" si="58">C175*E175</f>
        <v>9461.6812742400016</v>
      </c>
      <c r="G175" s="294">
        <v>3.6</v>
      </c>
      <c r="H175" s="295">
        <f t="shared" ref="H175:H182" si="59">C175*G175</f>
        <v>1541.2693478400001</v>
      </c>
      <c r="I175" s="295">
        <f t="shared" ref="I175" si="60">SUM(F175,H175)</f>
        <v>11002.950622080001</v>
      </c>
      <c r="J175" s="333"/>
      <c r="M175" s="326"/>
    </row>
    <row r="176" spans="1:13" s="200" customFormat="1" x14ac:dyDescent="0.7">
      <c r="A176" s="338" t="s">
        <v>406</v>
      </c>
      <c r="B176" s="277" t="s">
        <v>263</v>
      </c>
      <c r="C176" s="284">
        <f>3.14*5.3/2*5.3/2*0.15</f>
        <v>3.3075974999999995</v>
      </c>
      <c r="D176" s="297" t="s">
        <v>24</v>
      </c>
      <c r="E176" s="298">
        <v>2115</v>
      </c>
      <c r="F176" s="284">
        <f t="shared" si="58"/>
        <v>6995.5687124999986</v>
      </c>
      <c r="G176" s="298">
        <v>350</v>
      </c>
      <c r="H176" s="284">
        <f t="shared" si="59"/>
        <v>1157.6591249999999</v>
      </c>
      <c r="I176" s="292">
        <f t="shared" ref="I176" si="61">F176+H176</f>
        <v>8153.2278374999987</v>
      </c>
      <c r="J176" s="199"/>
      <c r="M176" s="206"/>
    </row>
    <row r="177" spans="1:15" s="200" customFormat="1" x14ac:dyDescent="0.7">
      <c r="A177" s="338" t="s">
        <v>407</v>
      </c>
      <c r="B177" s="277" t="s">
        <v>262</v>
      </c>
      <c r="C177" s="225">
        <f>(22.06+(16.65*0.15))*0.7</f>
        <v>17.190249999999995</v>
      </c>
      <c r="D177" s="297" t="s">
        <v>25</v>
      </c>
      <c r="E177" s="298">
        <v>451.4</v>
      </c>
      <c r="F177" s="284">
        <f t="shared" si="58"/>
        <v>7759.6788499999975</v>
      </c>
      <c r="G177" s="298">
        <v>133</v>
      </c>
      <c r="H177" s="284">
        <f t="shared" si="59"/>
        <v>2286.3032499999995</v>
      </c>
      <c r="I177" s="295">
        <f t="shared" ref="I177:I181" si="62">SUM(F177,H177)</f>
        <v>10045.982099999997</v>
      </c>
      <c r="J177" s="199"/>
      <c r="M177" s="206"/>
    </row>
    <row r="178" spans="1:15" s="200" customFormat="1" x14ac:dyDescent="0.7">
      <c r="A178" s="338" t="s">
        <v>408</v>
      </c>
      <c r="B178" s="277" t="s">
        <v>323</v>
      </c>
      <c r="C178" s="284">
        <v>6.28</v>
      </c>
      <c r="D178" s="297" t="s">
        <v>25</v>
      </c>
      <c r="E178" s="304">
        <v>452.4</v>
      </c>
      <c r="F178" s="305">
        <f t="shared" si="58"/>
        <v>2841.0720000000001</v>
      </c>
      <c r="G178" s="304">
        <v>134</v>
      </c>
      <c r="H178" s="305">
        <f t="shared" si="59"/>
        <v>841.52</v>
      </c>
      <c r="I178" s="305">
        <f t="shared" si="62"/>
        <v>3682.5920000000001</v>
      </c>
      <c r="J178" s="199"/>
      <c r="M178" s="206"/>
    </row>
    <row r="179" spans="1:15" s="200" customFormat="1" x14ac:dyDescent="0.7">
      <c r="A179" s="338" t="s">
        <v>409</v>
      </c>
      <c r="B179" s="277" t="s">
        <v>359</v>
      </c>
      <c r="C179" s="284">
        <v>2</v>
      </c>
      <c r="D179" s="297" t="s">
        <v>314</v>
      </c>
      <c r="E179" s="304">
        <v>547</v>
      </c>
      <c r="F179" s="305">
        <f t="shared" si="58"/>
        <v>1094</v>
      </c>
      <c r="G179" s="304">
        <v>120</v>
      </c>
      <c r="H179" s="305">
        <f t="shared" si="59"/>
        <v>240</v>
      </c>
      <c r="I179" s="305">
        <f t="shared" si="62"/>
        <v>1334</v>
      </c>
      <c r="J179" s="199"/>
      <c r="M179" s="206"/>
    </row>
    <row r="180" spans="1:15" s="200" customFormat="1" x14ac:dyDescent="0.7">
      <c r="A180" s="338" t="s">
        <v>410</v>
      </c>
      <c r="B180" s="277" t="s">
        <v>358</v>
      </c>
      <c r="C180" s="284">
        <v>3</v>
      </c>
      <c r="D180" s="297" t="s">
        <v>55</v>
      </c>
      <c r="E180" s="304">
        <f>E179*0.5</f>
        <v>273.5</v>
      </c>
      <c r="F180" s="305">
        <f t="shared" si="58"/>
        <v>820.5</v>
      </c>
      <c r="G180" s="304">
        <f>E179*0.3</f>
        <v>164.1</v>
      </c>
      <c r="H180" s="305">
        <f t="shared" si="59"/>
        <v>492.29999999999995</v>
      </c>
      <c r="I180" s="305">
        <f t="shared" si="62"/>
        <v>1312.8</v>
      </c>
      <c r="J180" s="199"/>
      <c r="M180" s="206"/>
    </row>
    <row r="181" spans="1:15" s="325" customFormat="1" x14ac:dyDescent="0.7">
      <c r="A181" s="338" t="s">
        <v>411</v>
      </c>
      <c r="B181" s="283" t="s">
        <v>261</v>
      </c>
      <c r="C181" s="225">
        <f>C175/1000*30</f>
        <v>12.843911232000002</v>
      </c>
      <c r="D181" s="289" t="s">
        <v>35</v>
      </c>
      <c r="E181" s="188">
        <v>21.58</v>
      </c>
      <c r="F181" s="186">
        <f t="shared" si="58"/>
        <v>277.17160438656003</v>
      </c>
      <c r="G181" s="188">
        <v>4.0999999999999996</v>
      </c>
      <c r="H181" s="186">
        <f t="shared" si="59"/>
        <v>52.660036051200002</v>
      </c>
      <c r="I181" s="186">
        <f t="shared" si="62"/>
        <v>329.83164043776003</v>
      </c>
      <c r="J181" s="202"/>
      <c r="M181" s="326"/>
    </row>
    <row r="182" spans="1:15" s="325" customFormat="1" x14ac:dyDescent="0.7">
      <c r="A182" s="338" t="s">
        <v>412</v>
      </c>
      <c r="B182" s="283" t="s">
        <v>300</v>
      </c>
      <c r="C182" s="225">
        <f>C177/0.25</f>
        <v>68.760999999999981</v>
      </c>
      <c r="D182" s="289" t="s">
        <v>35</v>
      </c>
      <c r="E182" s="188">
        <v>46.42</v>
      </c>
      <c r="F182" s="186">
        <f>C182*E182</f>
        <v>3191.8856199999991</v>
      </c>
      <c r="G182" s="188"/>
      <c r="H182" s="186">
        <f t="shared" si="59"/>
        <v>0</v>
      </c>
      <c r="I182" s="186">
        <f>F182+H182</f>
        <v>3191.8856199999991</v>
      </c>
      <c r="J182" s="202"/>
      <c r="M182" s="326"/>
    </row>
    <row r="183" spans="1:15" s="200" customFormat="1" x14ac:dyDescent="0.7">
      <c r="A183" s="300" t="s">
        <v>413</v>
      </c>
      <c r="B183" s="299" t="s">
        <v>322</v>
      </c>
      <c r="C183" s="284"/>
      <c r="D183" s="297"/>
      <c r="E183" s="298"/>
      <c r="F183" s="284"/>
      <c r="G183" s="298"/>
      <c r="H183" s="284"/>
      <c r="I183" s="295"/>
      <c r="J183" s="199"/>
      <c r="M183" s="206"/>
    </row>
    <row r="184" spans="1:15" s="200" customFormat="1" x14ac:dyDescent="0.7">
      <c r="A184" s="301" t="s">
        <v>414</v>
      </c>
      <c r="B184" s="302" t="s">
        <v>323</v>
      </c>
      <c r="C184" s="329">
        <v>44</v>
      </c>
      <c r="D184" s="303" t="s">
        <v>25</v>
      </c>
      <c r="E184" s="304">
        <v>452.4</v>
      </c>
      <c r="F184" s="305">
        <f t="shared" ref="F184:F198" si="63">C184*E184</f>
        <v>19905.599999999999</v>
      </c>
      <c r="G184" s="304">
        <v>134</v>
      </c>
      <c r="H184" s="305">
        <f t="shared" ref="H184:H198" si="64">C184*G184</f>
        <v>5896</v>
      </c>
      <c r="I184" s="305">
        <f t="shared" ref="I184:I198" si="65">SUM(F184,H184)</f>
        <v>25801.599999999999</v>
      </c>
      <c r="J184" s="306"/>
    </row>
    <row r="185" spans="1:15" s="200" customFormat="1" x14ac:dyDescent="0.7">
      <c r="A185" s="301" t="s">
        <v>415</v>
      </c>
      <c r="B185" s="314" t="s">
        <v>327</v>
      </c>
      <c r="C185" s="329">
        <v>44</v>
      </c>
      <c r="D185" s="303" t="s">
        <v>25</v>
      </c>
      <c r="E185" s="304">
        <v>43</v>
      </c>
      <c r="F185" s="315">
        <f t="shared" si="63"/>
        <v>1892</v>
      </c>
      <c r="G185" s="304">
        <v>34</v>
      </c>
      <c r="H185" s="305">
        <f t="shared" si="64"/>
        <v>1496</v>
      </c>
      <c r="I185" s="305">
        <f t="shared" si="65"/>
        <v>3388</v>
      </c>
      <c r="J185" s="306"/>
    </row>
    <row r="186" spans="1:15" s="200" customFormat="1" x14ac:dyDescent="0.7">
      <c r="A186" s="319"/>
      <c r="B186" s="311" t="s">
        <v>325</v>
      </c>
      <c r="C186" s="320"/>
      <c r="D186" s="312"/>
      <c r="E186" s="322"/>
      <c r="F186" s="313"/>
      <c r="G186" s="322"/>
      <c r="H186" s="323"/>
      <c r="I186" s="323"/>
      <c r="J186" s="324"/>
    </row>
    <row r="187" spans="1:15" s="200" customFormat="1" x14ac:dyDescent="0.7">
      <c r="A187" s="307"/>
      <c r="B187" s="316" t="s">
        <v>326</v>
      </c>
      <c r="C187" s="321"/>
      <c r="D187" s="317"/>
      <c r="E187" s="308"/>
      <c r="F187" s="318"/>
      <c r="G187" s="308"/>
      <c r="H187" s="309"/>
      <c r="I187" s="309"/>
      <c r="J187" s="310"/>
    </row>
    <row r="188" spans="1:15" s="200" customFormat="1" x14ac:dyDescent="0.7">
      <c r="A188" s="265" t="s">
        <v>416</v>
      </c>
      <c r="B188" s="152" t="s">
        <v>264</v>
      </c>
      <c r="C188" s="149">
        <v>1</v>
      </c>
      <c r="D188" s="138" t="s">
        <v>55</v>
      </c>
      <c r="E188" s="294">
        <v>940</v>
      </c>
      <c r="F188" s="295">
        <f>C188*E188</f>
        <v>940</v>
      </c>
      <c r="G188" s="294">
        <v>400</v>
      </c>
      <c r="H188" s="205">
        <f t="shared" si="64"/>
        <v>400</v>
      </c>
      <c r="I188" s="205">
        <f t="shared" si="65"/>
        <v>1340</v>
      </c>
      <c r="J188" s="199"/>
      <c r="M188" s="207" t="s">
        <v>116</v>
      </c>
      <c r="N188" s="207"/>
      <c r="O188" s="207"/>
    </row>
    <row r="189" spans="1:15" s="200" customFormat="1" x14ac:dyDescent="0.7">
      <c r="A189" s="265" t="s">
        <v>417</v>
      </c>
      <c r="B189" s="152" t="s">
        <v>332</v>
      </c>
      <c r="C189" s="284">
        <v>25.44</v>
      </c>
      <c r="D189" s="138" t="s">
        <v>25</v>
      </c>
      <c r="E189" s="294">
        <v>490</v>
      </c>
      <c r="F189" s="205">
        <f t="shared" si="63"/>
        <v>12465.6</v>
      </c>
      <c r="G189" s="294">
        <v>80</v>
      </c>
      <c r="H189" s="205">
        <f t="shared" si="64"/>
        <v>2035.2</v>
      </c>
      <c r="I189" s="205">
        <f t="shared" si="65"/>
        <v>14500.800000000001</v>
      </c>
      <c r="J189" s="199"/>
      <c r="M189" s="207" t="s">
        <v>117</v>
      </c>
      <c r="N189" s="207" t="s">
        <v>118</v>
      </c>
      <c r="O189" s="207" t="s">
        <v>2</v>
      </c>
    </row>
    <row r="190" spans="1:15" s="200" customFormat="1" x14ac:dyDescent="0.7">
      <c r="A190" s="265" t="s">
        <v>418</v>
      </c>
      <c r="B190" s="152" t="s">
        <v>324</v>
      </c>
      <c r="C190" s="149">
        <v>1</v>
      </c>
      <c r="D190" s="138" t="s">
        <v>23</v>
      </c>
      <c r="E190" s="294">
        <v>3850</v>
      </c>
      <c r="F190" s="205">
        <f t="shared" si="63"/>
        <v>3850</v>
      </c>
      <c r="G190" s="197">
        <v>198</v>
      </c>
      <c r="H190" s="205">
        <f t="shared" si="64"/>
        <v>198</v>
      </c>
      <c r="I190" s="205">
        <f t="shared" si="65"/>
        <v>4048</v>
      </c>
      <c r="J190" s="199"/>
      <c r="M190" s="208">
        <f>SUM(F184:F190)</f>
        <v>39053.199999999997</v>
      </c>
      <c r="N190" s="208">
        <f>SUM(H184:H190)</f>
        <v>10025.200000000001</v>
      </c>
      <c r="O190" s="208">
        <f>SUM(I184:I190)</f>
        <v>49078.400000000001</v>
      </c>
    </row>
    <row r="191" spans="1:15" s="200" customFormat="1" x14ac:dyDescent="0.7">
      <c r="A191" s="330" t="s">
        <v>419</v>
      </c>
      <c r="B191" s="273" t="s">
        <v>328</v>
      </c>
      <c r="C191" s="149"/>
      <c r="D191" s="138"/>
      <c r="E191" s="294"/>
      <c r="F191" s="205"/>
      <c r="G191" s="197"/>
      <c r="H191" s="205"/>
      <c r="I191" s="205"/>
      <c r="J191" s="199"/>
      <c r="M191" s="261"/>
      <c r="N191" s="261"/>
      <c r="O191" s="261"/>
    </row>
    <row r="192" spans="1:15" s="200" customFormat="1" x14ac:dyDescent="0.7">
      <c r="A192" s="331" t="s">
        <v>420</v>
      </c>
      <c r="B192" s="152" t="s">
        <v>329</v>
      </c>
      <c r="C192" s="149">
        <v>2</v>
      </c>
      <c r="D192" s="138" t="s">
        <v>333</v>
      </c>
      <c r="E192" s="294">
        <v>250</v>
      </c>
      <c r="F192" s="205">
        <f t="shared" si="63"/>
        <v>500</v>
      </c>
      <c r="G192" s="197">
        <v>170</v>
      </c>
      <c r="H192" s="205">
        <f t="shared" si="64"/>
        <v>340</v>
      </c>
      <c r="I192" s="205">
        <f t="shared" si="65"/>
        <v>840</v>
      </c>
      <c r="J192" s="199"/>
      <c r="M192" s="261"/>
      <c r="N192" s="261"/>
      <c r="O192" s="261"/>
    </row>
    <row r="193" spans="1:15" s="200" customFormat="1" x14ac:dyDescent="0.7">
      <c r="A193" s="331" t="s">
        <v>421</v>
      </c>
      <c r="B193" s="152" t="s">
        <v>330</v>
      </c>
      <c r="C193" s="149">
        <v>1</v>
      </c>
      <c r="D193" s="138" t="s">
        <v>23</v>
      </c>
      <c r="E193" s="294">
        <v>107</v>
      </c>
      <c r="F193" s="205">
        <f t="shared" si="63"/>
        <v>107</v>
      </c>
      <c r="G193" s="197">
        <v>90</v>
      </c>
      <c r="H193" s="205">
        <f t="shared" si="64"/>
        <v>90</v>
      </c>
      <c r="I193" s="205">
        <f t="shared" si="65"/>
        <v>197</v>
      </c>
      <c r="J193" s="199"/>
      <c r="M193" s="261"/>
      <c r="N193" s="261"/>
      <c r="O193" s="261"/>
    </row>
    <row r="194" spans="1:15" s="200" customFormat="1" x14ac:dyDescent="0.7">
      <c r="A194" s="331" t="s">
        <v>422</v>
      </c>
      <c r="B194" s="152" t="s">
        <v>331</v>
      </c>
      <c r="C194" s="149">
        <v>2</v>
      </c>
      <c r="D194" s="138" t="s">
        <v>23</v>
      </c>
      <c r="E194" s="294">
        <v>95</v>
      </c>
      <c r="F194" s="205">
        <f t="shared" si="63"/>
        <v>190</v>
      </c>
      <c r="G194" s="197">
        <v>80</v>
      </c>
      <c r="H194" s="205">
        <f t="shared" si="64"/>
        <v>160</v>
      </c>
      <c r="I194" s="205">
        <f t="shared" si="65"/>
        <v>350</v>
      </c>
      <c r="J194" s="199"/>
      <c r="M194" s="261"/>
      <c r="N194" s="261"/>
      <c r="O194" s="261"/>
    </row>
    <row r="195" spans="1:15" s="325" customFormat="1" x14ac:dyDescent="0.7">
      <c r="A195" s="331" t="s">
        <v>423</v>
      </c>
      <c r="B195" s="182" t="s">
        <v>371</v>
      </c>
      <c r="C195" s="186">
        <v>5</v>
      </c>
      <c r="D195" s="187" t="s">
        <v>41</v>
      </c>
      <c r="E195" s="345">
        <v>100</v>
      </c>
      <c r="F195" s="204">
        <f t="shared" si="63"/>
        <v>500</v>
      </c>
      <c r="G195" s="203"/>
      <c r="H195" s="204">
        <f t="shared" si="64"/>
        <v>0</v>
      </c>
      <c r="I195" s="204">
        <f t="shared" si="65"/>
        <v>500</v>
      </c>
      <c r="J195" s="202"/>
      <c r="M195" s="348"/>
      <c r="N195" s="348"/>
      <c r="O195" s="348"/>
    </row>
    <row r="196" spans="1:15" s="200" customFormat="1" x14ac:dyDescent="0.7">
      <c r="A196" s="331" t="s">
        <v>424</v>
      </c>
      <c r="B196" s="152" t="s">
        <v>370</v>
      </c>
      <c r="C196" s="149">
        <v>1</v>
      </c>
      <c r="D196" s="138" t="s">
        <v>43</v>
      </c>
      <c r="E196" s="294"/>
      <c r="F196" s="205">
        <f t="shared" si="63"/>
        <v>0</v>
      </c>
      <c r="G196" s="197">
        <f>0.3*I195</f>
        <v>150</v>
      </c>
      <c r="H196" s="205">
        <f>C196*G196</f>
        <v>150</v>
      </c>
      <c r="I196" s="205">
        <f t="shared" si="65"/>
        <v>150</v>
      </c>
      <c r="J196" s="199"/>
      <c r="M196" s="261"/>
      <c r="N196" s="261"/>
      <c r="O196" s="261"/>
    </row>
    <row r="197" spans="1:15" s="200" customFormat="1" x14ac:dyDescent="0.7">
      <c r="A197" s="254"/>
      <c r="B197" s="259" t="s">
        <v>240</v>
      </c>
      <c r="C197" s="255"/>
      <c r="D197" s="256"/>
      <c r="E197" s="257"/>
      <c r="F197" s="250">
        <f>SUM(F140:F196)</f>
        <v>144462.52001903937</v>
      </c>
      <c r="G197" s="257"/>
      <c r="H197" s="250">
        <f>SUM(H140:H196)</f>
        <v>30236.463477647198</v>
      </c>
      <c r="I197" s="250">
        <f>SUM(I139:I196)</f>
        <v>174698.98349668653</v>
      </c>
      <c r="J197" s="371"/>
      <c r="M197" s="261"/>
      <c r="N197" s="261"/>
      <c r="O197" s="261"/>
    </row>
    <row r="198" spans="1:15" s="210" customFormat="1" x14ac:dyDescent="0.7">
      <c r="A198" s="201">
        <v>8.1199999999999992</v>
      </c>
      <c r="B198" s="182" t="s">
        <v>108</v>
      </c>
      <c r="C198" s="186">
        <v>1</v>
      </c>
      <c r="D198" s="187" t="s">
        <v>43</v>
      </c>
      <c r="E198" s="203"/>
      <c r="F198" s="204">
        <f t="shared" si="63"/>
        <v>0</v>
      </c>
      <c r="G198" s="203">
        <v>25000</v>
      </c>
      <c r="H198" s="204">
        <f t="shared" si="64"/>
        <v>25000</v>
      </c>
      <c r="I198" s="204">
        <f t="shared" si="65"/>
        <v>25000</v>
      </c>
      <c r="J198" s="209"/>
    </row>
    <row r="199" spans="1:15" s="210" customFormat="1" x14ac:dyDescent="0.7">
      <c r="A199" s="352"/>
      <c r="B199" s="259" t="s">
        <v>241</v>
      </c>
      <c r="C199" s="255"/>
      <c r="D199" s="256"/>
      <c r="E199" s="257"/>
      <c r="F199" s="258"/>
      <c r="G199" s="257"/>
      <c r="H199" s="258"/>
      <c r="I199" s="250">
        <f>SUM(I198)</f>
        <v>25000</v>
      </c>
      <c r="J199" s="262"/>
    </row>
    <row r="200" spans="1:15" s="191" customFormat="1" x14ac:dyDescent="0.7">
      <c r="A200" s="211"/>
      <c r="B200" s="212" t="s">
        <v>86</v>
      </c>
      <c r="C200" s="365"/>
      <c r="D200" s="213"/>
      <c r="E200" s="214"/>
      <c r="F200" s="215">
        <f>SUM(F118:F198)</f>
        <v>1113370.4660457268</v>
      </c>
      <c r="G200" s="214"/>
      <c r="H200" s="215">
        <f>SUM(H118:H198)</f>
        <v>136161.5830634544</v>
      </c>
      <c r="I200" s="215">
        <f>I83+I92+I105+I117+I127+I138+I197+I199</f>
        <v>822296.02455459058</v>
      </c>
      <c r="J200" s="216"/>
    </row>
    <row r="201" spans="1:15" s="191" customFormat="1" x14ac:dyDescent="0.7">
      <c r="A201" s="372">
        <v>9</v>
      </c>
      <c r="B201" s="131" t="s">
        <v>161</v>
      </c>
      <c r="C201" s="355"/>
      <c r="D201" s="132"/>
      <c r="E201" s="133"/>
      <c r="F201" s="217"/>
      <c r="G201" s="133"/>
      <c r="H201" s="217"/>
      <c r="I201" s="217"/>
      <c r="J201" s="218"/>
      <c r="M201" s="219">
        <f>SUM(I184:I190)</f>
        <v>49078.400000000001</v>
      </c>
    </row>
    <row r="202" spans="1:15" s="191" customFormat="1" x14ac:dyDescent="0.7">
      <c r="A202" s="275">
        <v>9.1</v>
      </c>
      <c r="B202" s="224" t="s">
        <v>125</v>
      </c>
      <c r="C202" s="281"/>
      <c r="D202" s="187"/>
      <c r="E202" s="188"/>
      <c r="F202" s="225"/>
      <c r="G202" s="188"/>
      <c r="H202" s="225"/>
      <c r="I202" s="225"/>
      <c r="J202" s="223"/>
    </row>
    <row r="203" spans="1:15" s="191" customFormat="1" x14ac:dyDescent="0.7">
      <c r="A203" s="220" t="s">
        <v>265</v>
      </c>
      <c r="B203" s="182" t="s">
        <v>299</v>
      </c>
      <c r="C203" s="137">
        <v>4</v>
      </c>
      <c r="D203" s="138" t="s">
        <v>23</v>
      </c>
      <c r="E203" s="139">
        <v>32000</v>
      </c>
      <c r="F203" s="221">
        <f>C203*E203</f>
        <v>128000</v>
      </c>
      <c r="G203" s="139">
        <v>2500</v>
      </c>
      <c r="H203" s="222">
        <f>C203*G203</f>
        <v>10000</v>
      </c>
      <c r="I203" s="222">
        <f>SUM(F203,H203)</f>
        <v>138000</v>
      </c>
      <c r="J203" s="223"/>
    </row>
    <row r="204" spans="1:15" s="191" customFormat="1" x14ac:dyDescent="0.7">
      <c r="A204" s="220" t="s">
        <v>266</v>
      </c>
      <c r="B204" s="182" t="s">
        <v>297</v>
      </c>
      <c r="C204" s="137">
        <v>1</v>
      </c>
      <c r="D204" s="138" t="s">
        <v>23</v>
      </c>
      <c r="E204" s="139">
        <v>20000</v>
      </c>
      <c r="F204" s="221">
        <f>C204*E204</f>
        <v>20000</v>
      </c>
      <c r="G204" s="139">
        <v>5000</v>
      </c>
      <c r="H204" s="222">
        <f>C204*G204</f>
        <v>5000</v>
      </c>
      <c r="I204" s="222">
        <f>SUM(F204,H204)</f>
        <v>25000</v>
      </c>
      <c r="J204" s="223"/>
    </row>
    <row r="205" spans="1:15" s="191" customFormat="1" x14ac:dyDescent="0.7">
      <c r="A205" s="220" t="s">
        <v>267</v>
      </c>
      <c r="B205" s="182" t="s">
        <v>298</v>
      </c>
      <c r="C205" s="137">
        <v>1</v>
      </c>
      <c r="D205" s="138" t="s">
        <v>23</v>
      </c>
      <c r="E205" s="139">
        <v>20000</v>
      </c>
      <c r="F205" s="221">
        <f>C205*E205</f>
        <v>20000</v>
      </c>
      <c r="G205" s="139">
        <v>5000</v>
      </c>
      <c r="H205" s="222">
        <f>C205*G205</f>
        <v>5000</v>
      </c>
      <c r="I205" s="222">
        <f>SUM(F205,H205)</f>
        <v>25000</v>
      </c>
      <c r="J205" s="223"/>
    </row>
    <row r="206" spans="1:15" s="191" customFormat="1" x14ac:dyDescent="0.7">
      <c r="A206" s="220" t="s">
        <v>268</v>
      </c>
      <c r="B206" s="182" t="s">
        <v>269</v>
      </c>
      <c r="C206" s="137">
        <v>1</v>
      </c>
      <c r="D206" s="138" t="s">
        <v>43</v>
      </c>
      <c r="E206" s="139">
        <v>15000</v>
      </c>
      <c r="F206" s="221">
        <f>C206*E206</f>
        <v>15000</v>
      </c>
      <c r="G206" s="139">
        <v>5000</v>
      </c>
      <c r="H206" s="222">
        <f>C206*G206</f>
        <v>5000</v>
      </c>
      <c r="I206" s="222">
        <f t="shared" ref="I206:I227" si="66">SUM(F206,H206)</f>
        <v>20000</v>
      </c>
      <c r="J206" s="223"/>
    </row>
    <row r="207" spans="1:15" s="191" customFormat="1" x14ac:dyDescent="0.7">
      <c r="A207" s="268"/>
      <c r="B207" s="259" t="s">
        <v>277</v>
      </c>
      <c r="C207" s="366"/>
      <c r="D207" s="256"/>
      <c r="E207" s="269"/>
      <c r="F207" s="373">
        <f>SUM(F203:F206)</f>
        <v>183000</v>
      </c>
      <c r="G207" s="374"/>
      <c r="H207" s="271">
        <f>SUM(H203:H206)</f>
        <v>25000</v>
      </c>
      <c r="I207" s="271">
        <f>SUM(I203:I206)</f>
        <v>208000</v>
      </c>
      <c r="J207" s="270"/>
    </row>
    <row r="208" spans="1:15" s="191" customFormat="1" x14ac:dyDescent="0.7">
      <c r="A208" s="275">
        <v>9.1999999999999993</v>
      </c>
      <c r="B208" s="224" t="s">
        <v>126</v>
      </c>
      <c r="C208" s="281"/>
      <c r="D208" s="187"/>
      <c r="E208" s="188"/>
      <c r="F208" s="225"/>
      <c r="G208" s="188"/>
      <c r="H208" s="225"/>
      <c r="I208" s="225"/>
      <c r="J208" s="223"/>
    </row>
    <row r="209" spans="1:10" s="191" customFormat="1" x14ac:dyDescent="0.7">
      <c r="A209" s="275" t="s">
        <v>270</v>
      </c>
      <c r="B209" s="224" t="s">
        <v>122</v>
      </c>
      <c r="C209" s="281"/>
      <c r="D209" s="187"/>
      <c r="E209" s="188"/>
      <c r="F209" s="225"/>
      <c r="G209" s="188"/>
      <c r="H209" s="225"/>
      <c r="I209" s="225"/>
      <c r="J209" s="223"/>
    </row>
    <row r="210" spans="1:10" s="191" customFormat="1" x14ac:dyDescent="0.7">
      <c r="A210" s="220" t="s">
        <v>272</v>
      </c>
      <c r="B210" s="182" t="s">
        <v>286</v>
      </c>
      <c r="C210" s="281">
        <v>750</v>
      </c>
      <c r="D210" s="187" t="s">
        <v>123</v>
      </c>
      <c r="E210" s="188">
        <v>250</v>
      </c>
      <c r="F210" s="226">
        <f>C210*E210</f>
        <v>187500</v>
      </c>
      <c r="G210" s="188">
        <v>35</v>
      </c>
      <c r="H210" s="225">
        <f>C210*G210</f>
        <v>26250</v>
      </c>
      <c r="I210" s="225">
        <f t="shared" si="66"/>
        <v>213750</v>
      </c>
      <c r="J210" s="223"/>
    </row>
    <row r="211" spans="1:10" s="191" customFormat="1" x14ac:dyDescent="0.7">
      <c r="A211" s="220" t="s">
        <v>273</v>
      </c>
      <c r="B211" s="182" t="s">
        <v>287</v>
      </c>
      <c r="C211" s="281">
        <v>1700</v>
      </c>
      <c r="D211" s="187" t="s">
        <v>123</v>
      </c>
      <c r="E211" s="188">
        <v>310</v>
      </c>
      <c r="F211" s="226">
        <f>C211*E211</f>
        <v>527000</v>
      </c>
      <c r="G211" s="188">
        <v>45</v>
      </c>
      <c r="H211" s="225">
        <f>C211*G211</f>
        <v>76500</v>
      </c>
      <c r="I211" s="225">
        <f t="shared" si="66"/>
        <v>603500</v>
      </c>
      <c r="J211" s="223"/>
    </row>
    <row r="212" spans="1:10" s="191" customFormat="1" x14ac:dyDescent="0.7">
      <c r="A212" s="220" t="s">
        <v>274</v>
      </c>
      <c r="B212" s="182" t="s">
        <v>288</v>
      </c>
      <c r="C212" s="281">
        <v>370</v>
      </c>
      <c r="D212" s="187" t="s">
        <v>123</v>
      </c>
      <c r="E212" s="188">
        <v>680</v>
      </c>
      <c r="F212" s="226">
        <f>C212*E212</f>
        <v>251600</v>
      </c>
      <c r="G212" s="188">
        <v>115</v>
      </c>
      <c r="H212" s="225">
        <f>C212*G212</f>
        <v>42550</v>
      </c>
      <c r="I212" s="225">
        <f>SUM(F212,H212)</f>
        <v>294150</v>
      </c>
      <c r="J212" s="223"/>
    </row>
    <row r="213" spans="1:10" s="191" customFormat="1" x14ac:dyDescent="0.7">
      <c r="A213" s="275" t="s">
        <v>271</v>
      </c>
      <c r="B213" s="224" t="s">
        <v>124</v>
      </c>
      <c r="C213" s="281"/>
      <c r="D213" s="187"/>
      <c r="E213" s="188"/>
      <c r="F213" s="226"/>
      <c r="G213" s="188"/>
      <c r="H213" s="225"/>
      <c r="I213" s="225"/>
      <c r="J213" s="223"/>
    </row>
    <row r="214" spans="1:10" s="191" customFormat="1" x14ac:dyDescent="0.7">
      <c r="A214" s="220" t="s">
        <v>275</v>
      </c>
      <c r="B214" s="182" t="s">
        <v>289</v>
      </c>
      <c r="C214" s="281">
        <v>1500</v>
      </c>
      <c r="D214" s="187" t="s">
        <v>123</v>
      </c>
      <c r="E214" s="188">
        <v>12</v>
      </c>
      <c r="F214" s="226">
        <f>C214*E214</f>
        <v>18000</v>
      </c>
      <c r="G214" s="188">
        <v>7</v>
      </c>
      <c r="H214" s="225">
        <f>C214*G214</f>
        <v>10500</v>
      </c>
      <c r="I214" s="225">
        <f>SUM(F214,H214)</f>
        <v>28500</v>
      </c>
      <c r="J214" s="272"/>
    </row>
    <row r="215" spans="1:10" s="191" customFormat="1" x14ac:dyDescent="0.7">
      <c r="A215" s="268"/>
      <c r="B215" s="259" t="s">
        <v>276</v>
      </c>
      <c r="C215" s="366"/>
      <c r="D215" s="256"/>
      <c r="E215" s="269"/>
      <c r="F215" s="373">
        <f>SUM(F210:F214)</f>
        <v>984100</v>
      </c>
      <c r="G215" s="269"/>
      <c r="H215" s="271">
        <f>SUM(H209:H214)</f>
        <v>155800</v>
      </c>
      <c r="I215" s="271">
        <f>SUM(I209:I214)</f>
        <v>1139900</v>
      </c>
      <c r="J215" s="375"/>
    </row>
    <row r="216" spans="1:10" s="191" customFormat="1" x14ac:dyDescent="0.7">
      <c r="A216" s="275">
        <v>9.3000000000000007</v>
      </c>
      <c r="B216" s="224" t="s">
        <v>127</v>
      </c>
      <c r="C216" s="281"/>
      <c r="D216" s="187"/>
      <c r="E216" s="188"/>
      <c r="F216" s="225"/>
      <c r="G216" s="188"/>
      <c r="H216" s="225"/>
      <c r="I216" s="225"/>
      <c r="J216" s="223"/>
    </row>
    <row r="217" spans="1:10" s="191" customFormat="1" x14ac:dyDescent="0.7">
      <c r="A217" s="220" t="s">
        <v>279</v>
      </c>
      <c r="B217" s="182" t="s">
        <v>283</v>
      </c>
      <c r="C217" s="137">
        <v>450</v>
      </c>
      <c r="D217" s="138" t="s">
        <v>123</v>
      </c>
      <c r="E217" s="139">
        <v>170</v>
      </c>
      <c r="F217" s="221">
        <f>C217*E217</f>
        <v>76500</v>
      </c>
      <c r="G217" s="188">
        <v>34</v>
      </c>
      <c r="H217" s="222">
        <f>C217*G217</f>
        <v>15300</v>
      </c>
      <c r="I217" s="222">
        <f t="shared" si="66"/>
        <v>91800</v>
      </c>
      <c r="J217" s="223"/>
    </row>
    <row r="218" spans="1:10" s="191" customFormat="1" x14ac:dyDescent="0.7">
      <c r="A218" s="220" t="s">
        <v>280</v>
      </c>
      <c r="B218" s="182" t="s">
        <v>284</v>
      </c>
      <c r="C218" s="137">
        <v>400</v>
      </c>
      <c r="D218" s="138" t="s">
        <v>123</v>
      </c>
      <c r="E218" s="139">
        <v>25</v>
      </c>
      <c r="F218" s="221">
        <f>C218*E218</f>
        <v>10000</v>
      </c>
      <c r="G218" s="188">
        <v>34</v>
      </c>
      <c r="H218" s="222">
        <f>C218*G218</f>
        <v>13600</v>
      </c>
      <c r="I218" s="222">
        <f>SUM(F218,H218)</f>
        <v>23600</v>
      </c>
      <c r="J218" s="223"/>
    </row>
    <row r="219" spans="1:10" s="191" customFormat="1" x14ac:dyDescent="0.7">
      <c r="A219" s="220" t="s">
        <v>281</v>
      </c>
      <c r="B219" s="182" t="s">
        <v>285</v>
      </c>
      <c r="C219" s="281">
        <v>120</v>
      </c>
      <c r="D219" s="187" t="s">
        <v>123</v>
      </c>
      <c r="E219" s="188">
        <v>250</v>
      </c>
      <c r="F219" s="226">
        <f>C219*E219</f>
        <v>30000</v>
      </c>
      <c r="G219" s="188">
        <v>65</v>
      </c>
      <c r="H219" s="225">
        <f>C219*G219</f>
        <v>7800</v>
      </c>
      <c r="I219" s="225">
        <f t="shared" si="66"/>
        <v>37800</v>
      </c>
      <c r="J219" s="223"/>
    </row>
    <row r="220" spans="1:10" s="191" customFormat="1" x14ac:dyDescent="0.7">
      <c r="A220" s="220" t="s">
        <v>282</v>
      </c>
      <c r="B220" s="182" t="s">
        <v>269</v>
      </c>
      <c r="C220" s="137">
        <v>1</v>
      </c>
      <c r="D220" s="138" t="s">
        <v>43</v>
      </c>
      <c r="E220" s="139">
        <v>34000</v>
      </c>
      <c r="F220" s="221">
        <f>C220*E220</f>
        <v>34000</v>
      </c>
      <c r="G220" s="139">
        <v>20000</v>
      </c>
      <c r="H220" s="222">
        <f t="shared" ref="H220:H227" si="67">C220*G220</f>
        <v>20000</v>
      </c>
      <c r="I220" s="222">
        <f t="shared" si="66"/>
        <v>54000</v>
      </c>
      <c r="J220" s="223"/>
    </row>
    <row r="221" spans="1:10" s="191" customFormat="1" x14ac:dyDescent="0.7">
      <c r="A221" s="268"/>
      <c r="B221" s="259" t="s">
        <v>278</v>
      </c>
      <c r="C221" s="366"/>
      <c r="D221" s="256"/>
      <c r="E221" s="269"/>
      <c r="F221" s="373">
        <f>SUM(F217:F220)</f>
        <v>150500</v>
      </c>
      <c r="G221" s="269"/>
      <c r="H221" s="271">
        <f>SUM(H217:H220)</f>
        <v>56700</v>
      </c>
      <c r="I221" s="271">
        <f>SUM(I217:I220)</f>
        <v>207200</v>
      </c>
      <c r="J221" s="375"/>
    </row>
    <row r="222" spans="1:10" s="191" customFormat="1" x14ac:dyDescent="0.7">
      <c r="A222" s="275">
        <v>9.4</v>
      </c>
      <c r="B222" s="224" t="s">
        <v>128</v>
      </c>
      <c r="C222" s="281"/>
      <c r="D222" s="187"/>
      <c r="E222" s="188"/>
      <c r="F222" s="225"/>
      <c r="G222" s="188"/>
      <c r="H222" s="225"/>
      <c r="I222" s="225"/>
      <c r="J222" s="223"/>
    </row>
    <row r="223" spans="1:10" s="191" customFormat="1" x14ac:dyDescent="0.7">
      <c r="A223" s="220" t="s">
        <v>290</v>
      </c>
      <c r="B223" s="182" t="s">
        <v>292</v>
      </c>
      <c r="C223" s="137">
        <v>4</v>
      </c>
      <c r="D223" s="138" t="s">
        <v>23</v>
      </c>
      <c r="E223" s="139">
        <v>12000</v>
      </c>
      <c r="F223" s="221">
        <f>C223*E223</f>
        <v>48000</v>
      </c>
      <c r="G223" s="139">
        <v>2500</v>
      </c>
      <c r="H223" s="222">
        <f t="shared" si="67"/>
        <v>10000</v>
      </c>
      <c r="I223" s="222">
        <f>SUM(F223,H223)</f>
        <v>58000</v>
      </c>
      <c r="J223" s="223"/>
    </row>
    <row r="224" spans="1:10" s="191" customFormat="1" x14ac:dyDescent="0.7">
      <c r="A224" s="220" t="s">
        <v>291</v>
      </c>
      <c r="B224" s="182" t="s">
        <v>269</v>
      </c>
      <c r="C224" s="137">
        <v>1</v>
      </c>
      <c r="D224" s="138" t="s">
        <v>43</v>
      </c>
      <c r="E224" s="139">
        <v>3200</v>
      </c>
      <c r="F224" s="221">
        <f>C224*E224</f>
        <v>3200</v>
      </c>
      <c r="G224" s="139">
        <v>5000</v>
      </c>
      <c r="H224" s="222">
        <f t="shared" si="67"/>
        <v>5000</v>
      </c>
      <c r="I224" s="222">
        <f>SUM(F224,H224)</f>
        <v>8200</v>
      </c>
      <c r="J224" s="223"/>
    </row>
    <row r="225" spans="1:10" s="191" customFormat="1" x14ac:dyDescent="0.7">
      <c r="A225" s="268"/>
      <c r="B225" s="259" t="s">
        <v>293</v>
      </c>
      <c r="C225" s="366"/>
      <c r="D225" s="256"/>
      <c r="E225" s="269"/>
      <c r="F225" s="373">
        <f>SUM(F223:F224)</f>
        <v>51200</v>
      </c>
      <c r="G225" s="374"/>
      <c r="H225" s="271">
        <f>SUM(H223:H224)</f>
        <v>15000</v>
      </c>
      <c r="I225" s="271">
        <f>SUM(I223:I224)</f>
        <v>66200</v>
      </c>
      <c r="J225" s="375"/>
    </row>
    <row r="226" spans="1:10" s="191" customFormat="1" x14ac:dyDescent="0.7">
      <c r="A226" s="275">
        <v>9.5</v>
      </c>
      <c r="B226" s="224" t="s">
        <v>129</v>
      </c>
      <c r="C226" s="281"/>
      <c r="D226" s="187"/>
      <c r="E226" s="188"/>
      <c r="F226" s="225"/>
      <c r="G226" s="188"/>
      <c r="H226" s="225"/>
      <c r="I226" s="225"/>
      <c r="J226" s="223"/>
    </row>
    <row r="227" spans="1:10" s="191" customFormat="1" x14ac:dyDescent="0.7">
      <c r="A227" s="220" t="s">
        <v>294</v>
      </c>
      <c r="B227" s="182" t="s">
        <v>129</v>
      </c>
      <c r="C227" s="137">
        <v>4</v>
      </c>
      <c r="D227" s="138" t="s">
        <v>23</v>
      </c>
      <c r="E227" s="139"/>
      <c r="F227" s="221">
        <f>C227*E227</f>
        <v>0</v>
      </c>
      <c r="G227" s="139">
        <v>10000</v>
      </c>
      <c r="H227" s="222">
        <f t="shared" si="67"/>
        <v>40000</v>
      </c>
      <c r="I227" s="222">
        <f t="shared" si="66"/>
        <v>40000</v>
      </c>
      <c r="J227" s="223"/>
    </row>
    <row r="228" spans="1:10" s="191" customFormat="1" x14ac:dyDescent="0.7">
      <c r="A228" s="268"/>
      <c r="B228" s="259" t="s">
        <v>295</v>
      </c>
      <c r="C228" s="366"/>
      <c r="D228" s="256"/>
      <c r="E228" s="269"/>
      <c r="F228" s="373">
        <f>SUM(F227)</f>
        <v>0</v>
      </c>
      <c r="G228" s="374"/>
      <c r="H228" s="271">
        <f>SUM(H227)</f>
        <v>40000</v>
      </c>
      <c r="I228" s="271">
        <f>SUM(I227)</f>
        <v>40000</v>
      </c>
      <c r="J228" s="270"/>
    </row>
    <row r="229" spans="1:10" s="191" customFormat="1" x14ac:dyDescent="0.7">
      <c r="A229" s="227"/>
      <c r="B229" s="163" t="s">
        <v>130</v>
      </c>
      <c r="C229" s="356"/>
      <c r="D229" s="164"/>
      <c r="E229" s="165"/>
      <c r="F229" s="228">
        <f>SUM(F202:F227)</f>
        <v>2737600</v>
      </c>
      <c r="G229" s="165"/>
      <c r="H229" s="228">
        <f>SUM(H202:H227)</f>
        <v>545000</v>
      </c>
      <c r="I229" s="228">
        <f>I207+I215+I221+I225+I228</f>
        <v>1661300</v>
      </c>
      <c r="J229" s="229"/>
    </row>
    <row r="230" spans="1:10" s="191" customFormat="1" ht="27.75" customHeight="1" x14ac:dyDescent="0.7">
      <c r="A230" s="232"/>
      <c r="B230" s="231" t="s">
        <v>131</v>
      </c>
      <c r="C230" s="367"/>
      <c r="D230" s="232"/>
      <c r="E230" s="230"/>
      <c r="F230" s="230"/>
      <c r="G230" s="230"/>
      <c r="H230" s="230"/>
      <c r="I230" s="233" t="e">
        <f>I24+I33+#REF!+I40+I49+I60+I68+I200+I229</f>
        <v>#REF!</v>
      </c>
      <c r="J230" s="230"/>
    </row>
    <row r="231" spans="1:10" s="191" customFormat="1" x14ac:dyDescent="0.7">
      <c r="A231" s="234"/>
      <c r="C231" s="368"/>
      <c r="D231" s="234"/>
    </row>
    <row r="232" spans="1:10" s="191" customFormat="1" x14ac:dyDescent="0.7">
      <c r="A232" s="385" t="s">
        <v>425</v>
      </c>
      <c r="B232" s="386"/>
      <c r="C232" s="386"/>
      <c r="D232" s="387"/>
      <c r="E232" s="388"/>
      <c r="F232" s="388"/>
      <c r="G232" s="388"/>
    </row>
    <row r="233" spans="1:10" s="191" customFormat="1" x14ac:dyDescent="0.7">
      <c r="A233" s="386" t="s">
        <v>426</v>
      </c>
      <c r="B233" s="386"/>
      <c r="C233" s="386"/>
      <c r="D233" s="387"/>
      <c r="E233" s="388"/>
      <c r="F233" s="388"/>
      <c r="G233" s="388"/>
    </row>
    <row r="234" spans="1:10" s="191" customFormat="1" x14ac:dyDescent="0.7">
      <c r="A234" s="386" t="s">
        <v>436</v>
      </c>
      <c r="B234" s="386"/>
      <c r="C234" s="386"/>
      <c r="D234" s="386"/>
      <c r="E234" s="389"/>
      <c r="F234" s="389"/>
      <c r="G234" s="389"/>
    </row>
    <row r="235" spans="1:10" s="191" customFormat="1" x14ac:dyDescent="0.7">
      <c r="A235" s="386" t="s">
        <v>431</v>
      </c>
      <c r="B235" s="386"/>
      <c r="C235" s="386"/>
      <c r="D235" s="386"/>
      <c r="E235" s="389"/>
      <c r="F235" s="389"/>
      <c r="G235" s="389"/>
    </row>
    <row r="236" spans="1:10" s="191" customFormat="1" x14ac:dyDescent="0.7">
      <c r="A236" s="389" t="s">
        <v>435</v>
      </c>
      <c r="B236" s="390"/>
      <c r="C236" s="390"/>
      <c r="D236" s="389"/>
      <c r="E236" s="389"/>
      <c r="F236" s="389"/>
      <c r="G236" s="389"/>
    </row>
    <row r="237" spans="1:10" s="191" customFormat="1" x14ac:dyDescent="0.7">
      <c r="A237" s="389" t="s">
        <v>432</v>
      </c>
      <c r="B237" s="390"/>
      <c r="C237" s="390"/>
      <c r="D237" s="389"/>
      <c r="E237" s="389"/>
      <c r="F237" s="389"/>
      <c r="G237" s="389"/>
    </row>
    <row r="238" spans="1:10" s="191" customFormat="1" x14ac:dyDescent="0.7">
      <c r="A238" s="389" t="s">
        <v>433</v>
      </c>
      <c r="B238" s="390"/>
      <c r="C238" s="390"/>
      <c r="D238" s="389"/>
      <c r="E238" s="389"/>
      <c r="F238" s="389"/>
      <c r="G238" s="389"/>
    </row>
    <row r="239" spans="1:10" s="191" customFormat="1" x14ac:dyDescent="0.7">
      <c r="A239" s="389" t="s">
        <v>434</v>
      </c>
      <c r="B239" s="390"/>
      <c r="C239" s="390"/>
      <c r="D239" s="389"/>
      <c r="E239" s="389"/>
      <c r="F239" s="389"/>
      <c r="G239" s="389"/>
    </row>
    <row r="240" spans="1:10" s="191" customFormat="1" x14ac:dyDescent="0.7">
      <c r="A240" s="389" t="s">
        <v>427</v>
      </c>
      <c r="B240" s="390"/>
      <c r="C240" s="390"/>
      <c r="D240" s="389"/>
      <c r="E240" s="389"/>
      <c r="F240" s="389"/>
      <c r="G240" s="389"/>
    </row>
    <row r="241" spans="1:7" s="191" customFormat="1" x14ac:dyDescent="0.7">
      <c r="A241" s="389" t="s">
        <v>428</v>
      </c>
      <c r="B241" s="390"/>
      <c r="C241" s="390"/>
      <c r="D241" s="389"/>
      <c r="E241" s="389"/>
      <c r="F241" s="389"/>
      <c r="G241" s="389"/>
    </row>
    <row r="242" spans="1:7" s="191" customFormat="1" x14ac:dyDescent="0.7">
      <c r="A242" s="389" t="s">
        <v>438</v>
      </c>
      <c r="B242" s="390"/>
      <c r="C242" s="390"/>
      <c r="D242" s="389"/>
      <c r="E242" s="389"/>
      <c r="F242" s="389"/>
      <c r="G242" s="389"/>
    </row>
    <row r="243" spans="1:7" s="191" customFormat="1" x14ac:dyDescent="0.7">
      <c r="A243" s="389" t="s">
        <v>437</v>
      </c>
      <c r="B243" s="377"/>
      <c r="C243" s="377"/>
      <c r="D243" s="376"/>
      <c r="E243" s="376"/>
      <c r="F243" s="376"/>
      <c r="G243" s="376"/>
    </row>
    <row r="244" spans="1:7" s="191" customFormat="1" x14ac:dyDescent="0.7">
      <c r="A244" s="376"/>
      <c r="B244" s="377"/>
      <c r="C244" s="377"/>
      <c r="D244" s="376"/>
      <c r="E244" s="376"/>
      <c r="F244" s="376"/>
      <c r="G244" s="376"/>
    </row>
    <row r="245" spans="1:7" s="191" customFormat="1" x14ac:dyDescent="0.7">
      <c r="A245" s="376"/>
      <c r="B245" s="378"/>
      <c r="C245" s="379"/>
      <c r="D245" s="380"/>
      <c r="E245" s="380"/>
      <c r="F245" s="380"/>
      <c r="G245" s="380"/>
    </row>
    <row r="246" spans="1:7" s="191" customFormat="1" x14ac:dyDescent="0.7">
      <c r="A246" s="234"/>
      <c r="C246" s="368"/>
      <c r="D246" s="234"/>
    </row>
    <row r="247" spans="1:7" s="191" customFormat="1" x14ac:dyDescent="0.7">
      <c r="A247" s="234"/>
      <c r="C247" s="368"/>
      <c r="D247" s="234"/>
    </row>
    <row r="248" spans="1:7" s="191" customFormat="1" x14ac:dyDescent="0.7">
      <c r="A248" s="234"/>
      <c r="C248" s="368"/>
      <c r="D248" s="234"/>
    </row>
    <row r="249" spans="1:7" s="191" customFormat="1" x14ac:dyDescent="0.7">
      <c r="A249" s="234"/>
      <c r="C249" s="368"/>
      <c r="D249" s="234"/>
    </row>
    <row r="250" spans="1:7" s="191" customFormat="1" x14ac:dyDescent="0.7">
      <c r="A250" s="234"/>
      <c r="C250" s="368"/>
      <c r="D250" s="234"/>
    </row>
    <row r="251" spans="1:7" s="191" customFormat="1" x14ac:dyDescent="0.7">
      <c r="A251" s="234"/>
      <c r="C251" s="368"/>
      <c r="D251" s="234"/>
    </row>
    <row r="252" spans="1:7" s="191" customFormat="1" x14ac:dyDescent="0.7">
      <c r="A252" s="234"/>
      <c r="C252" s="368"/>
      <c r="D252" s="234"/>
    </row>
    <row r="253" spans="1:7" s="191" customFormat="1" x14ac:dyDescent="0.7">
      <c r="A253" s="234"/>
      <c r="C253" s="368"/>
      <c r="D253" s="234"/>
    </row>
    <row r="254" spans="1:7" s="191" customFormat="1" x14ac:dyDescent="0.7">
      <c r="A254" s="234"/>
      <c r="C254" s="368"/>
      <c r="D254" s="234"/>
    </row>
    <row r="255" spans="1:7" s="191" customFormat="1" x14ac:dyDescent="0.7">
      <c r="A255" s="234"/>
      <c r="C255" s="368"/>
      <c r="D255" s="234"/>
    </row>
    <row r="256" spans="1:7" s="191" customFormat="1" x14ac:dyDescent="0.7">
      <c r="A256" s="234"/>
      <c r="C256" s="368"/>
      <c r="D256" s="234"/>
    </row>
    <row r="257" spans="1:4" s="191" customFormat="1" x14ac:dyDescent="0.7">
      <c r="A257" s="234"/>
      <c r="C257" s="368"/>
      <c r="D257" s="234"/>
    </row>
    <row r="258" spans="1:4" s="191" customFormat="1" x14ac:dyDescent="0.7">
      <c r="A258" s="234"/>
      <c r="C258" s="368"/>
      <c r="D258" s="234"/>
    </row>
    <row r="259" spans="1:4" s="191" customFormat="1" x14ac:dyDescent="0.7">
      <c r="A259" s="234"/>
      <c r="C259" s="368"/>
      <c r="D259" s="234"/>
    </row>
    <row r="260" spans="1:4" s="191" customFormat="1" x14ac:dyDescent="0.7">
      <c r="A260" s="234"/>
      <c r="C260" s="368"/>
      <c r="D260" s="234"/>
    </row>
    <row r="261" spans="1:4" s="191" customFormat="1" x14ac:dyDescent="0.7">
      <c r="A261" s="234"/>
      <c r="C261" s="368"/>
      <c r="D261" s="234"/>
    </row>
    <row r="262" spans="1:4" s="191" customFormat="1" x14ac:dyDescent="0.7">
      <c r="A262" s="234"/>
      <c r="C262" s="368"/>
      <c r="D262" s="234"/>
    </row>
    <row r="263" spans="1:4" s="191" customFormat="1" x14ac:dyDescent="0.7">
      <c r="A263" s="234"/>
      <c r="C263" s="368"/>
      <c r="D263" s="234"/>
    </row>
    <row r="264" spans="1:4" s="191" customFormat="1" x14ac:dyDescent="0.7">
      <c r="A264" s="234"/>
      <c r="C264" s="368"/>
      <c r="D264" s="234"/>
    </row>
    <row r="265" spans="1:4" s="191" customFormat="1" x14ac:dyDescent="0.7">
      <c r="A265" s="234"/>
      <c r="C265" s="368"/>
      <c r="D265" s="234"/>
    </row>
    <row r="266" spans="1:4" s="191" customFormat="1" x14ac:dyDescent="0.7">
      <c r="A266" s="234"/>
      <c r="C266" s="368"/>
      <c r="D266" s="234"/>
    </row>
    <row r="267" spans="1:4" s="191" customFormat="1" x14ac:dyDescent="0.7">
      <c r="A267" s="234"/>
      <c r="C267" s="368"/>
      <c r="D267" s="234"/>
    </row>
    <row r="268" spans="1:4" s="191" customFormat="1" x14ac:dyDescent="0.7">
      <c r="A268" s="234"/>
      <c r="C268" s="368"/>
      <c r="D268" s="234"/>
    </row>
    <row r="269" spans="1:4" s="191" customFormat="1" x14ac:dyDescent="0.7">
      <c r="A269" s="234"/>
      <c r="C269" s="368"/>
      <c r="D269" s="234"/>
    </row>
    <row r="270" spans="1:4" s="191" customFormat="1" x14ac:dyDescent="0.7">
      <c r="A270" s="234"/>
      <c r="C270" s="368"/>
      <c r="D270" s="234"/>
    </row>
    <row r="271" spans="1:4" s="191" customFormat="1" x14ac:dyDescent="0.7">
      <c r="A271" s="234"/>
      <c r="C271" s="368"/>
      <c r="D271" s="234"/>
    </row>
    <row r="272" spans="1:4" s="191" customFormat="1" x14ac:dyDescent="0.7">
      <c r="A272" s="234"/>
      <c r="C272" s="368"/>
      <c r="D272" s="234"/>
    </row>
    <row r="273" spans="1:4" s="191" customFormat="1" x14ac:dyDescent="0.7">
      <c r="A273" s="234"/>
      <c r="C273" s="368"/>
      <c r="D273" s="234"/>
    </row>
    <row r="274" spans="1:4" s="191" customFormat="1" x14ac:dyDescent="0.7">
      <c r="A274" s="234"/>
      <c r="C274" s="368"/>
      <c r="D274" s="234"/>
    </row>
    <row r="275" spans="1:4" s="191" customFormat="1" x14ac:dyDescent="0.7">
      <c r="A275" s="234"/>
      <c r="C275" s="368"/>
      <c r="D275" s="234"/>
    </row>
  </sheetData>
  <mergeCells count="13">
    <mergeCell ref="A5:D5"/>
    <mergeCell ref="A1:J1"/>
    <mergeCell ref="A2:E2"/>
    <mergeCell ref="A3:E3"/>
    <mergeCell ref="A4:F4"/>
    <mergeCell ref="G4:I4"/>
    <mergeCell ref="J8:J9"/>
    <mergeCell ref="A6:B6"/>
    <mergeCell ref="A8:A9"/>
    <mergeCell ref="B8:B9"/>
    <mergeCell ref="C8:D8"/>
    <mergeCell ref="E8:F8"/>
    <mergeCell ref="G8:H8"/>
  </mergeCells>
  <hyperlinks>
    <hyperlink ref="K33" r:id="rId1"/>
  </hyperlinks>
  <pageMargins left="0.59055118110236204" right="0.196850393700787" top="0.55118110236220497" bottom="0.47244094488188998" header="0.43307086614173201" footer="0.27559055118110198"/>
  <pageSetup paperSize="9" scale="50" orientation="landscape" r:id="rId2"/>
  <headerFooter alignWithMargins="0">
    <oddHeader>&amp;Rปร.4/ &amp;P</oddHeader>
  </headerFooter>
  <rowBreaks count="9" manualBreakCount="9">
    <brk id="33" max="16383" man="1"/>
    <brk id="70" max="16383" man="1"/>
    <brk id="96" max="86" man="1"/>
    <brk id="121" max="16383" man="1"/>
    <brk id="148" max="16383" man="1"/>
    <brk id="173" max="16383" man="1"/>
    <brk id="200" max="16383" man="1"/>
    <brk id="225" max="16383" man="1"/>
    <brk id="2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41"/>
  <sheetViews>
    <sheetView zoomScale="90" zoomScaleNormal="90" zoomScaleSheetLayoutView="100" workbookViewId="0">
      <selection activeCell="A32" sqref="A32:XFD41"/>
    </sheetView>
  </sheetViews>
  <sheetFormatPr defaultColWidth="9.140625" defaultRowHeight="21.75" x14ac:dyDescent="0.5"/>
  <cols>
    <col min="1" max="1" width="7" style="391" customWidth="1"/>
    <col min="2" max="2" width="58.140625" style="391" customWidth="1"/>
    <col min="3" max="3" width="21" style="391" customWidth="1"/>
    <col min="4" max="4" width="15.28515625" style="391" customWidth="1"/>
    <col min="5" max="5" width="18.85546875" style="391" customWidth="1"/>
    <col min="6" max="6" width="13.7109375" style="391" customWidth="1"/>
    <col min="7" max="7" width="9.7109375" style="578" customWidth="1"/>
    <col min="8" max="8" width="22.42578125" style="578" customWidth="1"/>
    <col min="9" max="11" width="9.140625" style="578"/>
    <col min="12" max="12" width="24.85546875" style="578" customWidth="1"/>
    <col min="13" max="13" width="9.140625" style="578"/>
    <col min="14" max="16384" width="9.140625" style="391"/>
  </cols>
  <sheetData>
    <row r="1" spans="1:18" x14ac:dyDescent="0.5">
      <c r="E1" s="657" t="s">
        <v>22</v>
      </c>
      <c r="F1" s="657"/>
    </row>
    <row r="2" spans="1:18" x14ac:dyDescent="0.5">
      <c r="A2" s="658" t="s">
        <v>20</v>
      </c>
      <c r="B2" s="658"/>
      <c r="C2" s="658"/>
      <c r="D2" s="658"/>
      <c r="E2" s="658"/>
      <c r="F2" s="658"/>
    </row>
    <row r="3" spans="1:18" x14ac:dyDescent="0.5">
      <c r="A3" s="392" t="s">
        <v>441</v>
      </c>
      <c r="B3" s="393"/>
      <c r="C3" s="393"/>
      <c r="D3" s="393"/>
      <c r="E3" s="394"/>
      <c r="F3" s="395"/>
      <c r="G3" s="579"/>
      <c r="H3" s="579"/>
    </row>
    <row r="4" spans="1:18" x14ac:dyDescent="0.5">
      <c r="A4" s="397" t="s">
        <v>442</v>
      </c>
      <c r="B4" s="475"/>
      <c r="C4" s="475"/>
      <c r="D4" s="475"/>
      <c r="E4" s="475"/>
      <c r="F4" s="399"/>
      <c r="G4" s="579"/>
      <c r="H4" s="579"/>
    </row>
    <row r="5" spans="1:18" x14ac:dyDescent="0.5">
      <c r="A5" s="659" t="s">
        <v>443</v>
      </c>
      <c r="B5" s="659"/>
      <c r="C5" s="659"/>
      <c r="D5" s="659"/>
      <c r="E5" s="659"/>
      <c r="F5" s="660"/>
      <c r="G5" s="579"/>
      <c r="H5" s="579"/>
    </row>
    <row r="6" spans="1:18" x14ac:dyDescent="0.5">
      <c r="A6" s="661" t="s">
        <v>18</v>
      </c>
      <c r="B6" s="659"/>
      <c r="C6" s="659"/>
      <c r="D6" s="659"/>
      <c r="E6" s="397"/>
      <c r="F6" s="400"/>
      <c r="G6" s="579"/>
      <c r="H6" s="579"/>
      <c r="M6" s="580"/>
      <c r="N6" s="401"/>
      <c r="O6" s="401"/>
      <c r="P6" s="401"/>
      <c r="Q6" s="401"/>
      <c r="R6" s="401"/>
    </row>
    <row r="7" spans="1:18" x14ac:dyDescent="0.5">
      <c r="A7" s="402" t="s">
        <v>444</v>
      </c>
      <c r="B7" s="475"/>
      <c r="C7" s="475"/>
      <c r="D7" s="475"/>
      <c r="E7" s="397"/>
      <c r="F7" s="400"/>
      <c r="G7" s="579"/>
      <c r="H7" s="579"/>
      <c r="M7" s="580"/>
      <c r="N7" s="401"/>
      <c r="O7" s="401"/>
      <c r="P7" s="401"/>
      <c r="Q7" s="401"/>
      <c r="R7" s="401"/>
    </row>
    <row r="8" spans="1:18" x14ac:dyDescent="0.5">
      <c r="A8" s="403" t="s">
        <v>494</v>
      </c>
      <c r="B8" s="397"/>
      <c r="C8" s="397"/>
      <c r="D8" s="397"/>
      <c r="E8" s="397"/>
      <c r="F8" s="400"/>
      <c r="G8" s="579"/>
      <c r="H8" s="579"/>
      <c r="M8" s="580"/>
      <c r="N8" s="401"/>
      <c r="O8" s="401"/>
      <c r="P8" s="401"/>
      <c r="Q8" s="401"/>
      <c r="R8" s="401"/>
    </row>
    <row r="9" spans="1:18" x14ac:dyDescent="0.5">
      <c r="A9" s="662" t="s">
        <v>498</v>
      </c>
      <c r="B9" s="659"/>
      <c r="C9" s="659"/>
      <c r="D9" s="659"/>
      <c r="E9" s="404"/>
      <c r="F9" s="400"/>
      <c r="G9" s="579"/>
      <c r="H9" s="579"/>
      <c r="O9" s="405"/>
      <c r="P9" s="405"/>
    </row>
    <row r="10" spans="1:18" x14ac:dyDescent="0.5">
      <c r="A10" s="406"/>
      <c r="B10" s="407"/>
      <c r="C10" s="407"/>
      <c r="D10" s="407"/>
      <c r="E10" s="476"/>
      <c r="F10" s="409" t="s">
        <v>16</v>
      </c>
      <c r="G10" s="579"/>
      <c r="H10" s="579"/>
      <c r="O10" s="405"/>
      <c r="P10" s="405"/>
    </row>
    <row r="11" spans="1:18" ht="22.5" thickBot="1" x14ac:dyDescent="0.55000000000000004">
      <c r="A11" s="410" t="s">
        <v>0</v>
      </c>
      <c r="B11" s="410" t="s">
        <v>1</v>
      </c>
      <c r="C11" s="410" t="s">
        <v>12</v>
      </c>
      <c r="D11" s="410" t="s">
        <v>14</v>
      </c>
      <c r="E11" s="410" t="s">
        <v>11</v>
      </c>
      <c r="F11" s="410" t="s">
        <v>13</v>
      </c>
      <c r="H11" s="581"/>
    </row>
    <row r="12" spans="1:18" ht="22.5" thickTop="1" x14ac:dyDescent="0.5">
      <c r="A12" s="411">
        <v>1</v>
      </c>
      <c r="B12" s="412" t="s">
        <v>452</v>
      </c>
      <c r="C12" s="413">
        <f>' ปร.4 หินคลุก'!I15</f>
        <v>102876.4</v>
      </c>
      <c r="D12" s="414"/>
      <c r="E12" s="415"/>
      <c r="F12" s="416"/>
      <c r="H12" s="582"/>
    </row>
    <row r="13" spans="1:18" x14ac:dyDescent="0.5">
      <c r="A13" s="411">
        <v>2</v>
      </c>
      <c r="B13" s="412" t="s">
        <v>453</v>
      </c>
      <c r="C13" s="413">
        <f>' ปร.4 หินคลุก'!I23</f>
        <v>2219912.58</v>
      </c>
      <c r="D13" s="414"/>
      <c r="E13" s="415"/>
      <c r="F13" s="416"/>
      <c r="H13" s="582"/>
    </row>
    <row r="14" spans="1:18" x14ac:dyDescent="0.5">
      <c r="A14" s="411">
        <v>3</v>
      </c>
      <c r="B14" s="418" t="s">
        <v>37</v>
      </c>
      <c r="C14" s="419">
        <f>' ปร.4 หินคลุก'!I32</f>
        <v>11661205.35</v>
      </c>
      <c r="D14" s="420"/>
      <c r="E14" s="421"/>
      <c r="F14" s="422"/>
    </row>
    <row r="15" spans="1:18" x14ac:dyDescent="0.5">
      <c r="A15" s="411">
        <v>4</v>
      </c>
      <c r="B15" s="418" t="s">
        <v>91</v>
      </c>
      <c r="C15" s="419">
        <f>' ปร.4 หินคลุก'!I38</f>
        <v>428422.37</v>
      </c>
      <c r="D15" s="420"/>
      <c r="E15" s="421"/>
      <c r="F15" s="422"/>
    </row>
    <row r="16" spans="1:18" x14ac:dyDescent="0.5">
      <c r="A16" s="411">
        <v>5</v>
      </c>
      <c r="B16" s="418" t="s">
        <v>38</v>
      </c>
      <c r="C16" s="421">
        <f>' ปร.4 หินคลุก'!I47</f>
        <v>872856.82459999993</v>
      </c>
      <c r="D16" s="420"/>
      <c r="E16" s="421"/>
      <c r="F16" s="422"/>
      <c r="H16" s="430">
        <f>E16+E17</f>
        <v>0</v>
      </c>
    </row>
    <row r="17" spans="1:16" s="522" customFormat="1" x14ac:dyDescent="0.5">
      <c r="A17" s="411">
        <v>6</v>
      </c>
      <c r="B17" s="518" t="s">
        <v>39</v>
      </c>
      <c r="C17" s="519">
        <f>' ปร.4 หินคลุก'!I57</f>
        <v>995731.83434629999</v>
      </c>
      <c r="D17" s="520"/>
      <c r="E17" s="519"/>
      <c r="F17" s="521"/>
      <c r="G17" s="471"/>
      <c r="H17" s="471"/>
      <c r="I17" s="471"/>
      <c r="J17" s="471"/>
      <c r="K17" s="471"/>
      <c r="L17" s="471"/>
      <c r="M17" s="471"/>
    </row>
    <row r="18" spans="1:16" s="522" customFormat="1" ht="22.5" customHeight="1" x14ac:dyDescent="0.5">
      <c r="A18" s="411">
        <v>7</v>
      </c>
      <c r="B18" s="518" t="s">
        <v>81</v>
      </c>
      <c r="C18" s="524">
        <f>' ปร.4 หินคลุก'!I67</f>
        <v>512468.94</v>
      </c>
      <c r="D18" s="520"/>
      <c r="E18" s="519"/>
      <c r="F18" s="521"/>
      <c r="G18" s="471"/>
      <c r="H18" s="471"/>
      <c r="I18" s="471"/>
      <c r="J18" s="471"/>
      <c r="K18" s="471"/>
      <c r="L18" s="471"/>
      <c r="M18" s="471"/>
    </row>
    <row r="19" spans="1:16" s="522" customFormat="1" x14ac:dyDescent="0.5">
      <c r="A19" s="411">
        <v>8</v>
      </c>
      <c r="B19" s="525" t="s">
        <v>56</v>
      </c>
      <c r="C19" s="519">
        <f>' ปร.4 หินคลุก'!I199</f>
        <v>844278.21146084415</v>
      </c>
      <c r="D19" s="520"/>
      <c r="E19" s="519"/>
      <c r="F19" s="521"/>
      <c r="G19" s="471"/>
      <c r="H19" s="471"/>
      <c r="I19" s="471"/>
      <c r="J19" s="471"/>
      <c r="K19" s="471"/>
      <c r="L19" s="471"/>
      <c r="M19" s="471"/>
    </row>
    <row r="20" spans="1:16" x14ac:dyDescent="0.5">
      <c r="A20" s="417">
        <v>9</v>
      </c>
      <c r="B20" s="418" t="s">
        <v>121</v>
      </c>
      <c r="C20" s="421">
        <f>' ปร.4 หินคลุก'!I228</f>
        <v>1661300</v>
      </c>
      <c r="D20" s="420"/>
      <c r="E20" s="421"/>
      <c r="F20" s="422"/>
    </row>
    <row r="21" spans="1:16" x14ac:dyDescent="0.5">
      <c r="A21" s="417"/>
      <c r="B21" s="418"/>
      <c r="C21" s="427">
        <f>SUM(C12:C20)</f>
        <v>19299052.510407142</v>
      </c>
      <c r="D21" s="428">
        <v>1.2544999999999999</v>
      </c>
      <c r="E21" s="429">
        <f>C21*D21</f>
        <v>24210661.374305759</v>
      </c>
      <c r="F21" s="422"/>
      <c r="H21" s="430" t="e">
        <f>#REF!+#REF!</f>
        <v>#REF!</v>
      </c>
    </row>
    <row r="22" spans="1:16" x14ac:dyDescent="0.5">
      <c r="A22" s="417"/>
      <c r="B22" s="30" t="s">
        <v>17</v>
      </c>
      <c r="D22" s="420"/>
      <c r="E22" s="431"/>
      <c r="F22" s="422"/>
    </row>
    <row r="23" spans="1:16" ht="30.75" x14ac:dyDescent="0.7">
      <c r="A23" s="417"/>
      <c r="B23" s="31" t="s">
        <v>136</v>
      </c>
      <c r="C23" s="432"/>
      <c r="D23" s="420"/>
      <c r="E23" s="421"/>
      <c r="F23" s="422"/>
      <c r="H23" s="583">
        <v>23829700</v>
      </c>
      <c r="I23" s="584" t="s">
        <v>114</v>
      </c>
    </row>
    <row r="24" spans="1:16" ht="30.75" x14ac:dyDescent="0.7">
      <c r="A24" s="417"/>
      <c r="B24" s="31" t="s">
        <v>137</v>
      </c>
      <c r="C24" s="432"/>
      <c r="D24" s="420"/>
      <c r="E24" s="421"/>
      <c r="F24" s="422"/>
      <c r="H24" s="469"/>
      <c r="I24" s="469"/>
    </row>
    <row r="25" spans="1:16" ht="30.75" x14ac:dyDescent="0.7">
      <c r="A25" s="417"/>
      <c r="B25" s="31" t="s">
        <v>54</v>
      </c>
      <c r="C25" s="432"/>
      <c r="D25" s="420"/>
      <c r="E25" s="421"/>
      <c r="F25" s="422"/>
      <c r="H25" s="585">
        <f>E21-H23</f>
        <v>380961.37430575863</v>
      </c>
      <c r="I25" s="586"/>
    </row>
    <row r="26" spans="1:16" ht="31.5" thickBot="1" x14ac:dyDescent="0.75">
      <c r="A26" s="417"/>
      <c r="B26" s="32" t="s">
        <v>21</v>
      </c>
      <c r="C26" s="421"/>
      <c r="D26" s="420"/>
      <c r="E26" s="421"/>
      <c r="F26" s="433"/>
      <c r="H26" s="585"/>
      <c r="I26" s="469"/>
    </row>
    <row r="27" spans="1:16" ht="32.25" thickTop="1" thickBot="1" x14ac:dyDescent="0.75">
      <c r="A27" s="434"/>
      <c r="B27" s="435"/>
      <c r="C27" s="436"/>
      <c r="D27" s="434"/>
      <c r="E27" s="437"/>
      <c r="F27" s="434"/>
      <c r="H27" s="469">
        <v>21411933.800000001</v>
      </c>
      <c r="I27" s="469"/>
      <c r="P27" s="438"/>
    </row>
    <row r="28" spans="1:16" ht="23.25" thickTop="1" thickBot="1" x14ac:dyDescent="0.55000000000000004">
      <c r="A28" s="654" t="s">
        <v>15</v>
      </c>
      <c r="B28" s="655"/>
      <c r="C28" s="655"/>
      <c r="D28" s="656"/>
      <c r="E28" s="439">
        <f>SUM(E21:E27)</f>
        <v>24210661.374305759</v>
      </c>
      <c r="F28" s="440"/>
    </row>
    <row r="29" spans="1:16" ht="22.5" thickTop="1" x14ac:dyDescent="0.5">
      <c r="A29" s="396"/>
      <c r="B29" s="396"/>
      <c r="C29" s="396"/>
      <c r="D29" s="396"/>
      <c r="E29" s="441"/>
      <c r="F29" s="442"/>
    </row>
    <row r="30" spans="1:16" x14ac:dyDescent="0.5">
      <c r="A30" s="657" t="s">
        <v>447</v>
      </c>
      <c r="B30" s="657"/>
      <c r="C30" s="400"/>
      <c r="D30" s="443" t="s">
        <v>33</v>
      </c>
      <c r="E30" s="444">
        <f>E28/18000</f>
        <v>1345.0367430169865</v>
      </c>
      <c r="F30" s="400" t="s">
        <v>34</v>
      </c>
    </row>
    <row r="31" spans="1:16" x14ac:dyDescent="0.5">
      <c r="A31" s="400"/>
      <c r="B31" s="400"/>
      <c r="C31" s="400"/>
      <c r="D31" s="400"/>
      <c r="E31" s="400"/>
      <c r="F31" s="400"/>
    </row>
    <row r="32" spans="1:16" s="578" customFormat="1" x14ac:dyDescent="0.5">
      <c r="A32" s="98"/>
      <c r="B32" s="98"/>
      <c r="C32" s="98"/>
      <c r="D32" s="98"/>
      <c r="E32" s="98"/>
      <c r="F32" s="98"/>
    </row>
    <row r="33" spans="2:6" s="578" customFormat="1" x14ac:dyDescent="0.5">
      <c r="B33" s="664" t="s">
        <v>149</v>
      </c>
      <c r="C33" s="664"/>
      <c r="D33" s="664"/>
      <c r="E33" s="664"/>
      <c r="F33" s="664"/>
    </row>
    <row r="34" spans="2:6" s="578" customFormat="1" x14ac:dyDescent="0.5">
      <c r="B34" s="663" t="s">
        <v>154</v>
      </c>
      <c r="C34" s="663"/>
      <c r="D34" s="663"/>
      <c r="E34" s="663"/>
      <c r="F34" s="663"/>
    </row>
    <row r="35" spans="2:6" s="578" customFormat="1" x14ac:dyDescent="0.5">
      <c r="B35" s="663" t="s">
        <v>150</v>
      </c>
      <c r="C35" s="663"/>
      <c r="D35" s="663"/>
      <c r="E35" s="663"/>
      <c r="F35" s="663"/>
    </row>
    <row r="36" spans="2:6" s="578" customFormat="1" x14ac:dyDescent="0.5">
      <c r="B36" s="587"/>
      <c r="C36" s="588"/>
      <c r="D36" s="588"/>
      <c r="E36" s="587"/>
      <c r="F36" s="587"/>
    </row>
    <row r="37" spans="2:6" s="578" customFormat="1" x14ac:dyDescent="0.5">
      <c r="B37" s="589" t="s">
        <v>151</v>
      </c>
      <c r="C37" s="587"/>
      <c r="D37" s="664" t="s">
        <v>152</v>
      </c>
      <c r="E37" s="664"/>
      <c r="F37" s="664"/>
    </row>
    <row r="38" spans="2:6" s="578" customFormat="1" x14ac:dyDescent="0.5">
      <c r="B38" s="588" t="s">
        <v>155</v>
      </c>
      <c r="C38" s="587"/>
      <c r="D38" s="663" t="s">
        <v>156</v>
      </c>
      <c r="E38" s="663"/>
      <c r="F38" s="663"/>
    </row>
    <row r="39" spans="2:6" s="578" customFormat="1" x14ac:dyDescent="0.5">
      <c r="B39" s="588" t="s">
        <v>153</v>
      </c>
      <c r="C39" s="587"/>
      <c r="D39" s="663" t="s">
        <v>153</v>
      </c>
      <c r="E39" s="663"/>
      <c r="F39" s="663"/>
    </row>
    <row r="40" spans="2:6" s="578" customFormat="1" x14ac:dyDescent="0.5">
      <c r="B40" s="589"/>
      <c r="C40" s="664"/>
      <c r="D40" s="664"/>
      <c r="E40" s="664"/>
      <c r="F40" s="589"/>
    </row>
    <row r="41" spans="2:6" s="578" customFormat="1" x14ac:dyDescent="0.5"/>
  </sheetData>
  <mergeCells count="14">
    <mergeCell ref="D39:F39"/>
    <mergeCell ref="C40:E40"/>
    <mergeCell ref="A30:B30"/>
    <mergeCell ref="B33:F33"/>
    <mergeCell ref="B34:F34"/>
    <mergeCell ref="B35:F35"/>
    <mergeCell ref="D37:F37"/>
    <mergeCell ref="D38:F38"/>
    <mergeCell ref="A28:D28"/>
    <mergeCell ref="E1:F1"/>
    <mergeCell ref="A2:F2"/>
    <mergeCell ref="A5:F5"/>
    <mergeCell ref="A6:D6"/>
    <mergeCell ref="A9:D9"/>
  </mergeCells>
  <pageMargins left="0.33" right="0" top="0.62" bottom="0.196850393700787" header="0.53" footer="0.511811023622047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40"/>
  <sheetViews>
    <sheetView topLeftCell="A9" zoomScale="90" zoomScaleNormal="90" zoomScaleSheetLayoutView="100" workbookViewId="0">
      <selection activeCell="F27" sqref="F27"/>
    </sheetView>
  </sheetViews>
  <sheetFormatPr defaultColWidth="9.140625" defaultRowHeight="21.75" x14ac:dyDescent="0.5"/>
  <cols>
    <col min="1" max="1" width="7" style="391" customWidth="1"/>
    <col min="2" max="2" width="58.140625" style="391" customWidth="1"/>
    <col min="3" max="3" width="27.28515625" style="391" customWidth="1"/>
    <col min="4" max="4" width="19" style="391" customWidth="1"/>
    <col min="5" max="5" width="23.7109375" style="391" customWidth="1"/>
    <col min="6" max="6" width="13.7109375" style="391" customWidth="1"/>
    <col min="7" max="7" width="9.7109375" style="391" customWidth="1"/>
    <col min="8" max="8" width="22.42578125" style="391" customWidth="1"/>
    <col min="9" max="11" width="9.140625" style="391"/>
    <col min="12" max="12" width="24.85546875" style="391" customWidth="1"/>
    <col min="13" max="16384" width="9.140625" style="391"/>
  </cols>
  <sheetData>
    <row r="1" spans="1:18" x14ac:dyDescent="0.5">
      <c r="E1" s="657" t="s">
        <v>22</v>
      </c>
      <c r="F1" s="657"/>
    </row>
    <row r="2" spans="1:18" x14ac:dyDescent="0.5">
      <c r="A2" s="658" t="s">
        <v>20</v>
      </c>
      <c r="B2" s="658"/>
      <c r="C2" s="658"/>
      <c r="D2" s="658"/>
      <c r="E2" s="658"/>
      <c r="F2" s="658"/>
    </row>
    <row r="3" spans="1:18" x14ac:dyDescent="0.5">
      <c r="A3" s="392" t="s">
        <v>441</v>
      </c>
      <c r="B3" s="393"/>
      <c r="C3" s="393"/>
      <c r="D3" s="393"/>
      <c r="E3" s="394"/>
      <c r="F3" s="395"/>
      <c r="G3" s="396"/>
      <c r="H3" s="396"/>
    </row>
    <row r="4" spans="1:18" x14ac:dyDescent="0.5">
      <c r="A4" s="397" t="s">
        <v>442</v>
      </c>
      <c r="B4" s="475"/>
      <c r="C4" s="475"/>
      <c r="D4" s="475"/>
      <c r="E4" s="475"/>
      <c r="F4" s="399"/>
      <c r="G4" s="396"/>
      <c r="H4" s="396"/>
    </row>
    <row r="5" spans="1:18" x14ac:dyDescent="0.5">
      <c r="A5" s="659" t="s">
        <v>443</v>
      </c>
      <c r="B5" s="659"/>
      <c r="C5" s="659"/>
      <c r="D5" s="659"/>
      <c r="E5" s="659"/>
      <c r="F5" s="660"/>
      <c r="G5" s="396"/>
      <c r="H5" s="396"/>
    </row>
    <row r="6" spans="1:18" x14ac:dyDescent="0.5">
      <c r="A6" s="661" t="s">
        <v>18</v>
      </c>
      <c r="B6" s="659"/>
      <c r="C6" s="659"/>
      <c r="D6" s="659"/>
      <c r="E6" s="397"/>
      <c r="F6" s="400"/>
      <c r="G6" s="396"/>
      <c r="H6" s="396"/>
      <c r="M6" s="401"/>
      <c r="N6" s="401"/>
      <c r="O6" s="401"/>
      <c r="P6" s="401"/>
      <c r="Q6" s="401"/>
      <c r="R6" s="401"/>
    </row>
    <row r="7" spans="1:18" x14ac:dyDescent="0.5">
      <c r="A7" s="402" t="s">
        <v>444</v>
      </c>
      <c r="B7" s="475"/>
      <c r="C7" s="475"/>
      <c r="D7" s="475"/>
      <c r="E7" s="397"/>
      <c r="F7" s="400"/>
      <c r="G7" s="396"/>
      <c r="H7" s="396"/>
      <c r="M7" s="401"/>
      <c r="N7" s="401"/>
      <c r="O7" s="401"/>
      <c r="P7" s="401"/>
      <c r="Q7" s="401"/>
      <c r="R7" s="401"/>
    </row>
    <row r="8" spans="1:18" x14ac:dyDescent="0.5">
      <c r="A8" s="403" t="s">
        <v>446</v>
      </c>
      <c r="B8" s="397"/>
      <c r="C8" s="397"/>
      <c r="D8" s="397"/>
      <c r="E8" s="397"/>
      <c r="F8" s="400"/>
      <c r="G8" s="396"/>
      <c r="H8" s="396"/>
      <c r="M8" s="401"/>
      <c r="N8" s="401"/>
      <c r="O8" s="401"/>
      <c r="P8" s="401"/>
      <c r="Q8" s="401"/>
      <c r="R8" s="401"/>
    </row>
    <row r="9" spans="1:18" x14ac:dyDescent="0.5">
      <c r="A9" s="662" t="s">
        <v>445</v>
      </c>
      <c r="B9" s="659"/>
      <c r="C9" s="659"/>
      <c r="D9" s="659"/>
      <c r="E9" s="404"/>
      <c r="F9" s="400"/>
      <c r="G9" s="396"/>
      <c r="H9" s="396"/>
      <c r="O9" s="405"/>
      <c r="P9" s="405"/>
    </row>
    <row r="10" spans="1:18" x14ac:dyDescent="0.5">
      <c r="A10" s="406"/>
      <c r="B10" s="407"/>
      <c r="C10" s="407"/>
      <c r="D10" s="407"/>
      <c r="E10" s="476"/>
      <c r="F10" s="409" t="s">
        <v>16</v>
      </c>
      <c r="G10" s="396"/>
      <c r="H10" s="396"/>
      <c r="O10" s="405"/>
      <c r="P10" s="405"/>
    </row>
    <row r="11" spans="1:18" ht="22.5" thickBot="1" x14ac:dyDescent="0.55000000000000004">
      <c r="A11" s="410" t="s">
        <v>0</v>
      </c>
      <c r="B11" s="410" t="s">
        <v>1</v>
      </c>
      <c r="C11" s="410" t="s">
        <v>12</v>
      </c>
      <c r="D11" s="410" t="s">
        <v>14</v>
      </c>
      <c r="E11" s="410" t="s">
        <v>11</v>
      </c>
      <c r="F11" s="410" t="s">
        <v>13</v>
      </c>
      <c r="H11" s="458">
        <v>21413858.800000001</v>
      </c>
    </row>
    <row r="12" spans="1:18" ht="22.5" thickTop="1" x14ac:dyDescent="0.5">
      <c r="A12" s="411">
        <v>1</v>
      </c>
      <c r="B12" s="412" t="s">
        <v>452</v>
      </c>
      <c r="C12" s="413">
        <f>' ปร.4 ลุกรัง'!I15</f>
        <v>390440.44</v>
      </c>
      <c r="D12" s="414"/>
      <c r="E12" s="415"/>
      <c r="F12" s="416"/>
      <c r="H12" s="459">
        <f>H11-C21</f>
        <v>2707760.9694454111</v>
      </c>
    </row>
    <row r="13" spans="1:18" x14ac:dyDescent="0.5">
      <c r="A13" s="411"/>
      <c r="B13" s="412" t="s">
        <v>453</v>
      </c>
      <c r="C13" s="413">
        <f>' ปร.4 ลุกรัง'!I23</f>
        <v>1562246</v>
      </c>
      <c r="D13" s="414"/>
      <c r="E13" s="415"/>
      <c r="F13" s="416"/>
      <c r="H13" s="459"/>
    </row>
    <row r="14" spans="1:18" x14ac:dyDescent="0.5">
      <c r="A14" s="417">
        <v>2</v>
      </c>
      <c r="B14" s="418" t="s">
        <v>37</v>
      </c>
      <c r="C14" s="419">
        <f>' ปร.4 ลุกรัง'!I31</f>
        <v>11165160</v>
      </c>
      <c r="D14" s="420"/>
      <c r="E14" s="421"/>
      <c r="F14" s="422"/>
    </row>
    <row r="15" spans="1:18" x14ac:dyDescent="0.5">
      <c r="A15" s="417"/>
      <c r="B15" s="418" t="s">
        <v>91</v>
      </c>
      <c r="C15" s="419">
        <f>' ปร.4 ลุกรัง'!I39</f>
        <v>361266.75</v>
      </c>
      <c r="D15" s="420"/>
      <c r="E15" s="421"/>
      <c r="F15" s="422"/>
    </row>
    <row r="16" spans="1:18" x14ac:dyDescent="0.5">
      <c r="A16" s="417">
        <v>5</v>
      </c>
      <c r="B16" s="418" t="s">
        <v>38</v>
      </c>
      <c r="C16" s="421">
        <f>' ปร.4 ลุกรัง'!I48</f>
        <v>835897.81400000001</v>
      </c>
      <c r="D16" s="420"/>
      <c r="E16" s="421"/>
      <c r="F16" s="422"/>
      <c r="H16" s="423">
        <f>E16+E17</f>
        <v>0</v>
      </c>
    </row>
    <row r="17" spans="1:16" s="522" customFormat="1" x14ac:dyDescent="0.5">
      <c r="A17" s="517">
        <v>6</v>
      </c>
      <c r="B17" s="518" t="s">
        <v>39</v>
      </c>
      <c r="C17" s="519">
        <f>' ปร.4 ลุกรัง'!I59</f>
        <v>1172797.8019999999</v>
      </c>
      <c r="D17" s="520"/>
      <c r="E17" s="519"/>
      <c r="F17" s="521"/>
    </row>
    <row r="18" spans="1:16" s="522" customFormat="1" ht="27" customHeight="1" x14ac:dyDescent="0.5">
      <c r="A18" s="523">
        <v>7</v>
      </c>
      <c r="B18" s="518" t="s">
        <v>81</v>
      </c>
      <c r="C18" s="524">
        <f>' ปร.4 ลุกรัง'!I67</f>
        <v>164957</v>
      </c>
      <c r="D18" s="520"/>
      <c r="E18" s="519"/>
      <c r="F18" s="521"/>
    </row>
    <row r="19" spans="1:16" s="522" customFormat="1" x14ac:dyDescent="0.5">
      <c r="A19" s="517">
        <v>8</v>
      </c>
      <c r="B19" s="525" t="s">
        <v>56</v>
      </c>
      <c r="C19" s="519">
        <f>' ปร.4 ลุกรัง'!I202</f>
        <v>1392032.0245545905</v>
      </c>
      <c r="D19" s="520"/>
      <c r="E19" s="519"/>
      <c r="F19" s="521"/>
    </row>
    <row r="20" spans="1:16" x14ac:dyDescent="0.5">
      <c r="A20" s="417">
        <v>9</v>
      </c>
      <c r="B20" s="418" t="s">
        <v>121</v>
      </c>
      <c r="C20" s="421">
        <f>' ปร.4 ลุกรัง'!I231</f>
        <v>1661300</v>
      </c>
      <c r="D20" s="420"/>
      <c r="E20" s="421"/>
      <c r="F20" s="422"/>
    </row>
    <row r="21" spans="1:16" x14ac:dyDescent="0.5">
      <c r="A21" s="417"/>
      <c r="B21" s="418"/>
      <c r="C21" s="427">
        <f>SUM(C12:C20)</f>
        <v>18706097.83055459</v>
      </c>
      <c r="D21" s="428">
        <v>1.2554000000000001</v>
      </c>
      <c r="E21" s="429">
        <f>C21*D21</f>
        <v>23483635.216478232</v>
      </c>
      <c r="F21" s="422"/>
      <c r="H21" s="430" t="e">
        <f>#REF!+#REF!</f>
        <v>#REF!</v>
      </c>
    </row>
    <row r="22" spans="1:16" x14ac:dyDescent="0.5">
      <c r="A22" s="417"/>
      <c r="B22" s="30" t="s">
        <v>17</v>
      </c>
      <c r="D22" s="420"/>
      <c r="E22" s="431"/>
      <c r="F22" s="422"/>
    </row>
    <row r="23" spans="1:16" ht="30.75" x14ac:dyDescent="0.7">
      <c r="A23" s="417"/>
      <c r="B23" s="31" t="s">
        <v>136</v>
      </c>
      <c r="C23" s="432"/>
      <c r="D23" s="420"/>
      <c r="E23" s="421"/>
      <c r="F23" s="422"/>
      <c r="H23" s="452">
        <v>23829700</v>
      </c>
      <c r="I23" s="455" t="s">
        <v>114</v>
      </c>
    </row>
    <row r="24" spans="1:16" ht="30.75" x14ac:dyDescent="0.7">
      <c r="A24" s="417"/>
      <c r="B24" s="31" t="s">
        <v>137</v>
      </c>
      <c r="C24" s="432"/>
      <c r="D24" s="420"/>
      <c r="E24" s="421"/>
      <c r="F24" s="422"/>
      <c r="H24" s="453"/>
      <c r="I24" s="453"/>
    </row>
    <row r="25" spans="1:16" ht="30.75" x14ac:dyDescent="0.7">
      <c r="A25" s="417"/>
      <c r="B25" s="31" t="s">
        <v>54</v>
      </c>
      <c r="C25" s="432"/>
      <c r="D25" s="420"/>
      <c r="E25" s="421"/>
      <c r="F25" s="422"/>
      <c r="H25" s="454">
        <f>E21-H23</f>
        <v>-346064.78352176771</v>
      </c>
      <c r="I25" s="456" t="s">
        <v>458</v>
      </c>
    </row>
    <row r="26" spans="1:16" ht="31.5" thickBot="1" x14ac:dyDescent="0.75">
      <c r="A26" s="417"/>
      <c r="B26" s="32" t="s">
        <v>21</v>
      </c>
      <c r="C26" s="421"/>
      <c r="D26" s="420"/>
      <c r="E26" s="421"/>
      <c r="F26" s="433"/>
      <c r="H26" s="453"/>
      <c r="I26" s="453"/>
    </row>
    <row r="27" spans="1:16" ht="32.25" thickTop="1" thickBot="1" x14ac:dyDescent="0.75">
      <c r="A27" s="434"/>
      <c r="B27" s="435"/>
      <c r="C27" s="436"/>
      <c r="D27" s="434"/>
      <c r="E27" s="437"/>
      <c r="F27" s="434"/>
      <c r="H27" s="469">
        <v>21411933.800000001</v>
      </c>
      <c r="I27" s="453"/>
      <c r="P27" s="438"/>
    </row>
    <row r="28" spans="1:16" ht="23.25" thickTop="1" thickBot="1" x14ac:dyDescent="0.55000000000000004">
      <c r="A28" s="654" t="s">
        <v>15</v>
      </c>
      <c r="B28" s="655"/>
      <c r="C28" s="655"/>
      <c r="D28" s="656"/>
      <c r="E28" s="439">
        <f>SUM(E21:E27)</f>
        <v>23483635.216478232</v>
      </c>
      <c r="F28" s="440"/>
    </row>
    <row r="29" spans="1:16" ht="22.5" thickTop="1" x14ac:dyDescent="0.5">
      <c r="A29" s="396"/>
      <c r="B29" s="396"/>
      <c r="C29" s="396"/>
      <c r="D29" s="396"/>
      <c r="E29" s="441"/>
      <c r="F29" s="442"/>
      <c r="H29" s="391">
        <v>23896310.68</v>
      </c>
    </row>
    <row r="30" spans="1:16" x14ac:dyDescent="0.5">
      <c r="A30" s="657" t="s">
        <v>447</v>
      </c>
      <c r="B30" s="657"/>
      <c r="C30" s="400"/>
      <c r="D30" s="443" t="s">
        <v>33</v>
      </c>
      <c r="E30" s="444">
        <f>E28/18000</f>
        <v>1304.6464009154574</v>
      </c>
      <c r="F30" s="400" t="s">
        <v>34</v>
      </c>
      <c r="H30" s="391">
        <v>66610.679999999993</v>
      </c>
    </row>
    <row r="31" spans="1:16" x14ac:dyDescent="0.5">
      <c r="A31" s="400"/>
      <c r="B31" s="400"/>
      <c r="C31" s="400"/>
      <c r="D31" s="400"/>
      <c r="E31" s="400"/>
      <c r="F31" s="400"/>
    </row>
    <row r="32" spans="1:16" x14ac:dyDescent="0.5">
      <c r="A32" s="400"/>
      <c r="B32" s="98"/>
      <c r="C32" s="98"/>
      <c r="D32" s="98"/>
      <c r="E32" s="98"/>
      <c r="F32" s="400"/>
    </row>
    <row r="33" spans="1:6" x14ac:dyDescent="0.5">
      <c r="A33" s="445"/>
      <c r="B33" s="666" t="s">
        <v>149</v>
      </c>
      <c r="C33" s="666"/>
      <c r="D33" s="666"/>
      <c r="E33" s="666"/>
      <c r="F33" s="666"/>
    </row>
    <row r="34" spans="1:6" x14ac:dyDescent="0.5">
      <c r="A34" s="445"/>
      <c r="B34" s="667" t="s">
        <v>154</v>
      </c>
      <c r="C34" s="667"/>
      <c r="D34" s="667"/>
      <c r="E34" s="667"/>
      <c r="F34" s="667"/>
    </row>
    <row r="35" spans="1:6" x14ac:dyDescent="0.5">
      <c r="A35" s="445"/>
      <c r="B35" s="667" t="s">
        <v>150</v>
      </c>
      <c r="C35" s="667"/>
      <c r="D35" s="667"/>
      <c r="E35" s="667"/>
      <c r="F35" s="667"/>
    </row>
    <row r="36" spans="1:6" x14ac:dyDescent="0.5">
      <c r="A36" s="445"/>
      <c r="B36" s="236"/>
      <c r="C36" s="478"/>
      <c r="D36" s="478"/>
      <c r="E36" s="236"/>
      <c r="F36" s="236"/>
    </row>
    <row r="37" spans="1:6" x14ac:dyDescent="0.5">
      <c r="A37" s="445"/>
      <c r="B37" s="479" t="s">
        <v>151</v>
      </c>
      <c r="C37" s="237"/>
      <c r="D37" s="668" t="s">
        <v>152</v>
      </c>
      <c r="E37" s="668"/>
      <c r="F37" s="668"/>
    </row>
    <row r="38" spans="1:6" x14ac:dyDescent="0.5">
      <c r="A38" s="445"/>
      <c r="B38" s="480" t="s">
        <v>155</v>
      </c>
      <c r="C38" s="237"/>
      <c r="D38" s="665" t="s">
        <v>156</v>
      </c>
      <c r="E38" s="665"/>
      <c r="F38" s="665"/>
    </row>
    <row r="39" spans="1:6" x14ac:dyDescent="0.5">
      <c r="A39" s="445"/>
      <c r="B39" s="480" t="s">
        <v>153</v>
      </c>
      <c r="C39" s="237"/>
      <c r="D39" s="665" t="s">
        <v>153</v>
      </c>
      <c r="E39" s="665"/>
      <c r="F39" s="665"/>
    </row>
    <row r="40" spans="1:6" x14ac:dyDescent="0.5">
      <c r="A40" s="445"/>
      <c r="B40" s="477"/>
      <c r="C40" s="666"/>
      <c r="D40" s="666"/>
      <c r="E40" s="666"/>
      <c r="F40" s="477"/>
    </row>
  </sheetData>
  <mergeCells count="14">
    <mergeCell ref="D39:F39"/>
    <mergeCell ref="C40:E40"/>
    <mergeCell ref="A30:B30"/>
    <mergeCell ref="B33:F33"/>
    <mergeCell ref="B34:F34"/>
    <mergeCell ref="B35:F35"/>
    <mergeCell ref="D37:F37"/>
    <mergeCell ref="D38:F38"/>
    <mergeCell ref="A28:D28"/>
    <mergeCell ref="E1:F1"/>
    <mergeCell ref="A2:F2"/>
    <mergeCell ref="A5:F5"/>
    <mergeCell ref="A6:D6"/>
    <mergeCell ref="A9:D9"/>
  </mergeCells>
  <pageMargins left="0.33" right="0" top="0.62" bottom="0.196850393700787" header="0.53" footer="0.511811023622047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40"/>
  <sheetViews>
    <sheetView topLeftCell="A10" zoomScaleNormal="100" zoomScaleSheetLayoutView="100" workbookViewId="0">
      <selection activeCell="C14" sqref="C14"/>
    </sheetView>
  </sheetViews>
  <sheetFormatPr defaultColWidth="9.140625" defaultRowHeight="21.75" x14ac:dyDescent="0.5"/>
  <cols>
    <col min="1" max="1" width="7" style="391" customWidth="1"/>
    <col min="2" max="2" width="58.140625" style="391" customWidth="1"/>
    <col min="3" max="3" width="27.28515625" style="391" customWidth="1"/>
    <col min="4" max="4" width="19" style="391" customWidth="1"/>
    <col min="5" max="5" width="23.7109375" style="391" customWidth="1"/>
    <col min="6" max="6" width="13.7109375" style="391" customWidth="1"/>
    <col min="7" max="7" width="9.7109375" style="391" customWidth="1"/>
    <col min="8" max="8" width="22.42578125" style="391" customWidth="1"/>
    <col min="9" max="16384" width="9.140625" style="391"/>
  </cols>
  <sheetData>
    <row r="1" spans="1:18" x14ac:dyDescent="0.5">
      <c r="E1" s="657" t="s">
        <v>22</v>
      </c>
      <c r="F1" s="657"/>
    </row>
    <row r="2" spans="1:18" x14ac:dyDescent="0.5">
      <c r="A2" s="658" t="s">
        <v>20</v>
      </c>
      <c r="B2" s="658"/>
      <c r="C2" s="658"/>
      <c r="D2" s="658"/>
      <c r="E2" s="658"/>
      <c r="F2" s="658"/>
    </row>
    <row r="3" spans="1:18" x14ac:dyDescent="0.5">
      <c r="A3" s="392" t="s">
        <v>441</v>
      </c>
      <c r="B3" s="393"/>
      <c r="C3" s="393"/>
      <c r="D3" s="393"/>
      <c r="E3" s="394"/>
      <c r="F3" s="395"/>
      <c r="G3" s="396"/>
      <c r="H3" s="396"/>
    </row>
    <row r="4" spans="1:18" x14ac:dyDescent="0.5">
      <c r="A4" s="397" t="s">
        <v>442</v>
      </c>
      <c r="B4" s="398"/>
      <c r="C4" s="398"/>
      <c r="D4" s="398"/>
      <c r="E4" s="398"/>
      <c r="F4" s="399"/>
      <c r="G4" s="396"/>
      <c r="H4" s="396"/>
    </row>
    <row r="5" spans="1:18" x14ac:dyDescent="0.5">
      <c r="A5" s="659" t="s">
        <v>443</v>
      </c>
      <c r="B5" s="659"/>
      <c r="C5" s="659"/>
      <c r="D5" s="659"/>
      <c r="E5" s="659"/>
      <c r="F5" s="660"/>
      <c r="G5" s="396"/>
      <c r="H5" s="396"/>
    </row>
    <row r="6" spans="1:18" x14ac:dyDescent="0.5">
      <c r="A6" s="661" t="s">
        <v>18</v>
      </c>
      <c r="B6" s="659"/>
      <c r="C6" s="659"/>
      <c r="D6" s="659"/>
      <c r="E6" s="397"/>
      <c r="F6" s="400"/>
      <c r="G6" s="396"/>
      <c r="H6" s="396"/>
      <c r="M6" s="401"/>
      <c r="N6" s="401"/>
      <c r="O6" s="401"/>
      <c r="P6" s="401"/>
      <c r="Q6" s="401"/>
      <c r="R6" s="401"/>
    </row>
    <row r="7" spans="1:18" x14ac:dyDescent="0.5">
      <c r="A7" s="402" t="s">
        <v>444</v>
      </c>
      <c r="B7" s="398"/>
      <c r="C7" s="398"/>
      <c r="D7" s="398"/>
      <c r="E7" s="397"/>
      <c r="F7" s="400"/>
      <c r="G7" s="396"/>
      <c r="H7" s="396"/>
      <c r="M7" s="401"/>
      <c r="N7" s="401"/>
      <c r="O7" s="401"/>
      <c r="P7" s="401"/>
      <c r="Q7" s="401"/>
      <c r="R7" s="401"/>
    </row>
    <row r="8" spans="1:18" x14ac:dyDescent="0.5">
      <c r="A8" s="403" t="s">
        <v>446</v>
      </c>
      <c r="B8" s="397"/>
      <c r="C8" s="397"/>
      <c r="D8" s="397"/>
      <c r="E8" s="397"/>
      <c r="F8" s="400"/>
      <c r="G8" s="396"/>
      <c r="H8" s="396"/>
      <c r="M8" s="401"/>
      <c r="N8" s="401"/>
      <c r="O8" s="401"/>
      <c r="P8" s="401"/>
      <c r="Q8" s="401"/>
      <c r="R8" s="401"/>
    </row>
    <row r="9" spans="1:18" x14ac:dyDescent="0.5">
      <c r="A9" s="662" t="s">
        <v>445</v>
      </c>
      <c r="B9" s="659"/>
      <c r="C9" s="659"/>
      <c r="D9" s="659"/>
      <c r="E9" s="404"/>
      <c r="F9" s="400"/>
      <c r="G9" s="396"/>
      <c r="H9" s="396"/>
      <c r="O9" s="405"/>
      <c r="P9" s="405"/>
    </row>
    <row r="10" spans="1:18" x14ac:dyDescent="0.5">
      <c r="A10" s="406"/>
      <c r="B10" s="407"/>
      <c r="C10" s="407"/>
      <c r="D10" s="407"/>
      <c r="E10" s="408"/>
      <c r="F10" s="409" t="s">
        <v>16</v>
      </c>
      <c r="G10" s="396"/>
      <c r="H10" s="396"/>
      <c r="O10" s="405"/>
      <c r="P10" s="405"/>
    </row>
    <row r="11" spans="1:18" ht="22.5" thickBot="1" x14ac:dyDescent="0.55000000000000004">
      <c r="A11" s="410" t="s">
        <v>0</v>
      </c>
      <c r="B11" s="410" t="s">
        <v>1</v>
      </c>
      <c r="C11" s="410" t="s">
        <v>12</v>
      </c>
      <c r="D11" s="410" t="s">
        <v>14</v>
      </c>
      <c r="E11" s="410" t="s">
        <v>11</v>
      </c>
      <c r="F11" s="410" t="s">
        <v>13</v>
      </c>
      <c r="H11" s="458">
        <v>21413858.800000001</v>
      </c>
    </row>
    <row r="12" spans="1:18" ht="22.5" thickTop="1" x14ac:dyDescent="0.5">
      <c r="A12" s="411">
        <v>1</v>
      </c>
      <c r="B12" s="412" t="s">
        <v>36</v>
      </c>
      <c r="C12" s="413">
        <f>' ปร.4 ลุกรัง'!I23</f>
        <v>1562246</v>
      </c>
      <c r="D12" s="414"/>
      <c r="E12" s="415"/>
      <c r="F12" s="416"/>
      <c r="H12" s="459" t="e">
        <f>H11-C21</f>
        <v>#REF!</v>
      </c>
    </row>
    <row r="13" spans="1:18" x14ac:dyDescent="0.5">
      <c r="A13" s="417">
        <v>2</v>
      </c>
      <c r="B13" s="418" t="s">
        <v>37</v>
      </c>
      <c r="C13" s="419">
        <f>' ปร.4 ลุกรัง'!I31</f>
        <v>11165160</v>
      </c>
      <c r="D13" s="420"/>
      <c r="E13" s="421"/>
      <c r="F13" s="422"/>
    </row>
    <row r="14" spans="1:18" x14ac:dyDescent="0.5">
      <c r="A14" s="417">
        <v>3</v>
      </c>
      <c r="B14" s="464" t="s">
        <v>89</v>
      </c>
      <c r="C14" s="466" t="e">
        <f>' ปร.4 ลุกรัง'!#REF!</f>
        <v>#REF!</v>
      </c>
      <c r="D14" s="420"/>
      <c r="E14" s="421"/>
      <c r="F14" s="422"/>
      <c r="H14" s="459">
        <f>' ปร.4 ลุกรัง'!O28</f>
        <v>2600893.83</v>
      </c>
    </row>
    <row r="15" spans="1:18" x14ac:dyDescent="0.5">
      <c r="A15" s="417">
        <v>4</v>
      </c>
      <c r="B15" s="418" t="s">
        <v>91</v>
      </c>
      <c r="C15" s="419">
        <f>' ปร.4 ลุกรัง'!I39</f>
        <v>361266.75</v>
      </c>
      <c r="D15" s="420"/>
      <c r="E15" s="421"/>
      <c r="F15" s="422"/>
      <c r="H15" s="459" t="e">
        <f>H12-H14</f>
        <v>#REF!</v>
      </c>
    </row>
    <row r="16" spans="1:18" x14ac:dyDescent="0.5">
      <c r="A16" s="417">
        <v>5</v>
      </c>
      <c r="B16" s="418" t="s">
        <v>38</v>
      </c>
      <c r="C16" s="421">
        <f>' ปร.4 ลุกรัง'!I48</f>
        <v>835897.81400000001</v>
      </c>
      <c r="D16" s="420"/>
      <c r="E16" s="421"/>
      <c r="F16" s="422"/>
      <c r="H16" s="423">
        <f>E16+E17</f>
        <v>0</v>
      </c>
    </row>
    <row r="17" spans="1:16" x14ac:dyDescent="0.5">
      <c r="A17" s="417">
        <v>6</v>
      </c>
      <c r="B17" s="465" t="s">
        <v>39</v>
      </c>
      <c r="C17" s="467">
        <f>' ปร.4 ลุกรัง'!I59</f>
        <v>1172797.8019999999</v>
      </c>
      <c r="D17" s="420"/>
      <c r="E17" s="421"/>
      <c r="F17" s="422"/>
    </row>
    <row r="18" spans="1:16" ht="43.5" x14ac:dyDescent="0.5">
      <c r="A18" s="425">
        <v>7</v>
      </c>
      <c r="B18" s="424" t="s">
        <v>81</v>
      </c>
      <c r="C18" s="426">
        <f>' ปร.4 ลุกรัง'!I67</f>
        <v>164957</v>
      </c>
      <c r="D18" s="420"/>
      <c r="E18" s="421"/>
      <c r="F18" s="422"/>
    </row>
    <row r="19" spans="1:16" x14ac:dyDescent="0.5">
      <c r="A19" s="417">
        <v>8</v>
      </c>
      <c r="B19" s="464" t="s">
        <v>56</v>
      </c>
      <c r="C19" s="467">
        <f>' ปร.4 ลุกรัง'!I202</f>
        <v>1392032.0245545905</v>
      </c>
      <c r="D19" s="420"/>
      <c r="E19" s="421"/>
      <c r="F19" s="422"/>
    </row>
    <row r="20" spans="1:16" x14ac:dyDescent="0.5">
      <c r="A20" s="417">
        <v>9</v>
      </c>
      <c r="B20" s="418" t="s">
        <v>121</v>
      </c>
      <c r="C20" s="421">
        <f>' ปร.4 ลุกรัง'!I231</f>
        <v>1661300</v>
      </c>
      <c r="D20" s="420"/>
      <c r="E20" s="421"/>
      <c r="F20" s="422"/>
    </row>
    <row r="21" spans="1:16" x14ac:dyDescent="0.5">
      <c r="A21" s="417"/>
      <c r="B21" s="418"/>
      <c r="C21" s="427" t="e">
        <f>SUM(C12:C20)</f>
        <v>#REF!</v>
      </c>
      <c r="D21" s="428">
        <v>1.2548999999999999</v>
      </c>
      <c r="E21" s="429" t="e">
        <f>C21*D21</f>
        <v>#REF!</v>
      </c>
      <c r="F21" s="422"/>
      <c r="H21" s="430" t="e">
        <f>#REF!+#REF!</f>
        <v>#REF!</v>
      </c>
    </row>
    <row r="22" spans="1:16" x14ac:dyDescent="0.5">
      <c r="A22" s="417"/>
      <c r="B22" s="30" t="s">
        <v>17</v>
      </c>
      <c r="D22" s="420"/>
      <c r="E22" s="431"/>
      <c r="F22" s="422"/>
    </row>
    <row r="23" spans="1:16" ht="30.75" x14ac:dyDescent="0.7">
      <c r="A23" s="417"/>
      <c r="B23" s="31" t="s">
        <v>136</v>
      </c>
      <c r="C23" s="432"/>
      <c r="D23" s="420"/>
      <c r="E23" s="421"/>
      <c r="F23" s="422"/>
      <c r="H23" s="452">
        <v>23829700</v>
      </c>
      <c r="I23" s="455" t="s">
        <v>114</v>
      </c>
    </row>
    <row r="24" spans="1:16" ht="30.75" x14ac:dyDescent="0.7">
      <c r="A24" s="417"/>
      <c r="B24" s="31" t="s">
        <v>137</v>
      </c>
      <c r="C24" s="432"/>
      <c r="D24" s="420"/>
      <c r="E24" s="421"/>
      <c r="F24" s="422"/>
      <c r="H24" s="453"/>
      <c r="I24" s="453"/>
    </row>
    <row r="25" spans="1:16" ht="30.75" x14ac:dyDescent="0.7">
      <c r="A25" s="417"/>
      <c r="B25" s="31" t="s">
        <v>54</v>
      </c>
      <c r="C25" s="432"/>
      <c r="D25" s="420"/>
      <c r="E25" s="421"/>
      <c r="F25" s="422"/>
      <c r="H25" s="454" t="e">
        <f>E21-H23</f>
        <v>#REF!</v>
      </c>
      <c r="I25" s="456" t="s">
        <v>305</v>
      </c>
    </row>
    <row r="26" spans="1:16" ht="31.5" thickBot="1" x14ac:dyDescent="0.75">
      <c r="A26" s="417"/>
      <c r="B26" s="32" t="s">
        <v>21</v>
      </c>
      <c r="C26" s="421"/>
      <c r="D26" s="420"/>
      <c r="E26" s="421"/>
      <c r="F26" s="433"/>
      <c r="H26" s="453"/>
      <c r="I26" s="453"/>
    </row>
    <row r="27" spans="1:16" ht="32.25" thickTop="1" thickBot="1" x14ac:dyDescent="0.75">
      <c r="A27" s="434"/>
      <c r="B27" s="435"/>
      <c r="C27" s="436"/>
      <c r="D27" s="434"/>
      <c r="E27" s="437"/>
      <c r="F27" s="434"/>
      <c r="H27" s="469">
        <v>21411933.800000001</v>
      </c>
      <c r="I27" s="453"/>
      <c r="P27" s="438"/>
    </row>
    <row r="28" spans="1:16" ht="23.25" thickTop="1" thickBot="1" x14ac:dyDescent="0.55000000000000004">
      <c r="A28" s="654" t="s">
        <v>15</v>
      </c>
      <c r="B28" s="655"/>
      <c r="C28" s="655"/>
      <c r="D28" s="656"/>
      <c r="E28" s="439" t="e">
        <f>SUM(E21:E27)</f>
        <v>#REF!</v>
      </c>
      <c r="F28" s="440"/>
    </row>
    <row r="29" spans="1:16" ht="22.5" thickTop="1" x14ac:dyDescent="0.5">
      <c r="A29" s="396"/>
      <c r="B29" s="396"/>
      <c r="C29" s="396"/>
      <c r="D29" s="396"/>
      <c r="E29" s="441"/>
      <c r="F29" s="442"/>
      <c r="H29" s="391">
        <v>23896310.68</v>
      </c>
    </row>
    <row r="30" spans="1:16" x14ac:dyDescent="0.5">
      <c r="A30" s="657" t="s">
        <v>447</v>
      </c>
      <c r="B30" s="657"/>
      <c r="C30" s="400"/>
      <c r="D30" s="443" t="s">
        <v>33</v>
      </c>
      <c r="E30" s="444" t="e">
        <f>E28/18000</f>
        <v>#REF!</v>
      </c>
      <c r="F30" s="400" t="s">
        <v>34</v>
      </c>
      <c r="H30" s="391">
        <v>66610.679999999993</v>
      </c>
    </row>
    <row r="31" spans="1:16" x14ac:dyDescent="0.5">
      <c r="A31" s="400"/>
      <c r="B31" s="400"/>
      <c r="C31" s="400"/>
      <c r="D31" s="400"/>
      <c r="E31" s="400"/>
      <c r="F31" s="400"/>
    </row>
    <row r="32" spans="1:16" x14ac:dyDescent="0.5">
      <c r="A32" s="400"/>
      <c r="B32" s="98"/>
      <c r="C32" s="98"/>
      <c r="D32" s="98"/>
      <c r="E32" s="98"/>
      <c r="F32" s="400"/>
    </row>
    <row r="33" spans="1:6" x14ac:dyDescent="0.5">
      <c r="A33" s="445"/>
      <c r="B33" s="666" t="s">
        <v>149</v>
      </c>
      <c r="C33" s="666"/>
      <c r="D33" s="666"/>
      <c r="E33" s="666"/>
      <c r="F33" s="666"/>
    </row>
    <row r="34" spans="1:6" x14ac:dyDescent="0.5">
      <c r="A34" s="445"/>
      <c r="B34" s="667" t="s">
        <v>154</v>
      </c>
      <c r="C34" s="667"/>
      <c r="D34" s="667"/>
      <c r="E34" s="667"/>
      <c r="F34" s="667"/>
    </row>
    <row r="35" spans="1:6" x14ac:dyDescent="0.5">
      <c r="A35" s="445"/>
      <c r="B35" s="667" t="s">
        <v>150</v>
      </c>
      <c r="C35" s="667"/>
      <c r="D35" s="667"/>
      <c r="E35" s="667"/>
      <c r="F35" s="667"/>
    </row>
    <row r="36" spans="1:6" x14ac:dyDescent="0.5">
      <c r="A36" s="445"/>
      <c r="B36" s="236"/>
      <c r="C36" s="382"/>
      <c r="D36" s="382"/>
      <c r="E36" s="236"/>
      <c r="F36" s="236"/>
    </row>
    <row r="37" spans="1:6" x14ac:dyDescent="0.5">
      <c r="A37" s="445"/>
      <c r="B37" s="383" t="s">
        <v>151</v>
      </c>
      <c r="C37" s="237"/>
      <c r="D37" s="668" t="s">
        <v>152</v>
      </c>
      <c r="E37" s="668"/>
      <c r="F37" s="668"/>
    </row>
    <row r="38" spans="1:6" x14ac:dyDescent="0.5">
      <c r="A38" s="445"/>
      <c r="B38" s="384" t="s">
        <v>155</v>
      </c>
      <c r="C38" s="237"/>
      <c r="D38" s="665" t="s">
        <v>156</v>
      </c>
      <c r="E38" s="665"/>
      <c r="F38" s="665"/>
    </row>
    <row r="39" spans="1:6" x14ac:dyDescent="0.5">
      <c r="A39" s="445"/>
      <c r="B39" s="384" t="s">
        <v>153</v>
      </c>
      <c r="C39" s="237"/>
      <c r="D39" s="665" t="s">
        <v>153</v>
      </c>
      <c r="E39" s="665"/>
      <c r="F39" s="665"/>
    </row>
    <row r="40" spans="1:6" x14ac:dyDescent="0.5">
      <c r="A40" s="445"/>
      <c r="B40" s="381"/>
      <c r="C40" s="666"/>
      <c r="D40" s="666"/>
      <c r="E40" s="666"/>
      <c r="F40" s="381"/>
    </row>
  </sheetData>
  <mergeCells count="14">
    <mergeCell ref="A28:D28"/>
    <mergeCell ref="A9:D9"/>
    <mergeCell ref="A6:D6"/>
    <mergeCell ref="E1:F1"/>
    <mergeCell ref="A2:F2"/>
    <mergeCell ref="A5:F5"/>
    <mergeCell ref="A30:B30"/>
    <mergeCell ref="B33:F33"/>
    <mergeCell ref="B34:F34"/>
    <mergeCell ref="C40:E40"/>
    <mergeCell ref="B35:F35"/>
    <mergeCell ref="D37:F37"/>
    <mergeCell ref="D38:F38"/>
    <mergeCell ref="D39:F39"/>
  </mergeCells>
  <pageMargins left="0.33" right="0" top="0.62" bottom="0.196850393700787" header="0.53" footer="0.511811023622047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83"/>
  <sheetViews>
    <sheetView topLeftCell="A127" zoomScale="70" zoomScaleNormal="70" zoomScalePageLayoutView="110" workbookViewId="0">
      <selection activeCell="C23" sqref="C23:I23"/>
    </sheetView>
  </sheetViews>
  <sheetFormatPr defaultColWidth="9.140625" defaultRowHeight="30.75" x14ac:dyDescent="0.7"/>
  <cols>
    <col min="1" max="1" width="12.85546875" style="235" customWidth="1"/>
    <col min="2" max="2" width="108.42578125" style="109" customWidth="1"/>
    <col min="3" max="3" width="23.28515625" style="369" customWidth="1"/>
    <col min="4" max="4" width="14.42578125" style="235" customWidth="1"/>
    <col min="5" max="5" width="21" style="109" customWidth="1"/>
    <col min="6" max="6" width="32.42578125" style="109" bestFit="1" customWidth="1"/>
    <col min="7" max="7" width="24.5703125" style="109" customWidth="1"/>
    <col min="8" max="8" width="29.85546875" style="109" bestFit="1" customWidth="1"/>
    <col min="9" max="9" width="35.85546875" style="109" customWidth="1"/>
    <col min="10" max="10" width="24.7109375" style="109" customWidth="1"/>
    <col min="11" max="11" width="15.42578125" style="109" bestFit="1" customWidth="1"/>
    <col min="12" max="12" width="6.7109375" style="109" customWidth="1"/>
    <col min="13" max="13" width="23.140625" style="109" bestFit="1" customWidth="1"/>
    <col min="14" max="14" width="15" style="109" bestFit="1" customWidth="1"/>
    <col min="15" max="15" width="25" style="109" bestFit="1" customWidth="1"/>
    <col min="16" max="16384" width="9.140625" style="109"/>
  </cols>
  <sheetData>
    <row r="1" spans="1:17" x14ac:dyDescent="0.7">
      <c r="A1" s="648" t="s">
        <v>19</v>
      </c>
      <c r="B1" s="648"/>
      <c r="C1" s="648"/>
      <c r="D1" s="648"/>
      <c r="E1" s="648"/>
      <c r="F1" s="648"/>
      <c r="G1" s="648"/>
      <c r="H1" s="648"/>
      <c r="I1" s="648"/>
      <c r="J1" s="648"/>
      <c r="K1" s="108"/>
      <c r="L1" s="108"/>
      <c r="M1" s="108"/>
      <c r="N1" s="108"/>
    </row>
    <row r="2" spans="1:17" x14ac:dyDescent="0.7">
      <c r="A2" s="651" t="s">
        <v>145</v>
      </c>
      <c r="B2" s="651"/>
      <c r="C2" s="651"/>
      <c r="D2" s="651"/>
      <c r="E2" s="651"/>
      <c r="F2" s="110"/>
      <c r="G2" s="111"/>
      <c r="H2" s="112"/>
      <c r="I2" s="112"/>
      <c r="J2" s="111" t="s">
        <v>26</v>
      </c>
      <c r="K2" s="108"/>
      <c r="L2" s="108"/>
      <c r="M2" s="108"/>
      <c r="N2" s="108"/>
    </row>
    <row r="3" spans="1:17" x14ac:dyDescent="0.7">
      <c r="A3" s="645" t="s">
        <v>146</v>
      </c>
      <c r="B3" s="645"/>
      <c r="C3" s="645"/>
      <c r="D3" s="645"/>
      <c r="E3" s="645"/>
      <c r="F3" s="114"/>
      <c r="G3" s="114"/>
      <c r="H3" s="114"/>
      <c r="I3" s="113"/>
      <c r="J3" s="113"/>
      <c r="K3" s="108"/>
      <c r="L3" s="108"/>
      <c r="M3" s="108"/>
      <c r="N3" s="108"/>
    </row>
    <row r="4" spans="1:17" x14ac:dyDescent="0.7">
      <c r="A4" s="645" t="s">
        <v>147</v>
      </c>
      <c r="B4" s="645"/>
      <c r="C4" s="645"/>
      <c r="D4" s="645"/>
      <c r="E4" s="645"/>
      <c r="F4" s="645"/>
      <c r="G4" s="644" t="s">
        <v>18</v>
      </c>
      <c r="H4" s="644"/>
      <c r="I4" s="644"/>
      <c r="J4" s="113"/>
      <c r="K4" s="108"/>
      <c r="L4" s="108"/>
      <c r="M4" s="108"/>
      <c r="N4" s="108"/>
    </row>
    <row r="5" spans="1:17" x14ac:dyDescent="0.7">
      <c r="A5" s="644" t="s">
        <v>148</v>
      </c>
      <c r="B5" s="644"/>
      <c r="C5" s="644"/>
      <c r="D5" s="644"/>
      <c r="E5" s="113"/>
      <c r="F5" s="113"/>
      <c r="G5" s="114"/>
      <c r="H5" s="114"/>
      <c r="I5" s="113"/>
      <c r="J5" s="113"/>
      <c r="K5" s="116"/>
      <c r="L5" s="116"/>
      <c r="M5" s="116" t="s">
        <v>115</v>
      </c>
      <c r="N5" s="116" t="s">
        <v>111</v>
      </c>
      <c r="O5" s="117" t="e">
        <f>+#REF!</f>
        <v>#REF!</v>
      </c>
    </row>
    <row r="6" spans="1:17" x14ac:dyDescent="0.7">
      <c r="A6" s="644" t="s">
        <v>157</v>
      </c>
      <c r="B6" s="645"/>
      <c r="C6" s="353"/>
      <c r="D6" s="113"/>
      <c r="E6" s="115" t="s">
        <v>375</v>
      </c>
      <c r="F6" s="108"/>
      <c r="G6" s="113"/>
      <c r="H6" s="113"/>
      <c r="I6" s="113"/>
      <c r="J6" s="113"/>
      <c r="K6" s="118"/>
      <c r="M6" s="109" t="s">
        <v>114</v>
      </c>
      <c r="N6" s="108" t="s">
        <v>110</v>
      </c>
      <c r="O6" s="119">
        <v>17335590.940000001</v>
      </c>
    </row>
    <row r="7" spans="1:17" x14ac:dyDescent="0.7">
      <c r="A7" s="122"/>
      <c r="B7" s="120"/>
      <c r="C7" s="370"/>
      <c r="D7" s="120"/>
      <c r="E7" s="120"/>
      <c r="F7" s="120"/>
      <c r="G7" s="121"/>
      <c r="H7" s="122"/>
      <c r="I7" s="122"/>
      <c r="J7" s="123" t="s">
        <v>16</v>
      </c>
      <c r="K7" s="118"/>
      <c r="N7" s="108" t="s">
        <v>112</v>
      </c>
      <c r="O7" s="124" t="e">
        <f>+O5-O6</f>
        <v>#REF!</v>
      </c>
    </row>
    <row r="8" spans="1:17" s="127" customFormat="1" x14ac:dyDescent="0.7">
      <c r="A8" s="646" t="s">
        <v>0</v>
      </c>
      <c r="B8" s="646" t="s">
        <v>26</v>
      </c>
      <c r="C8" s="649" t="s">
        <v>3</v>
      </c>
      <c r="D8" s="650"/>
      <c r="E8" s="649" t="s">
        <v>4</v>
      </c>
      <c r="F8" s="650"/>
      <c r="G8" s="649" t="s">
        <v>5</v>
      </c>
      <c r="H8" s="650"/>
      <c r="I8" s="125" t="s">
        <v>6</v>
      </c>
      <c r="J8" s="646" t="s">
        <v>13</v>
      </c>
      <c r="K8" s="473"/>
      <c r="N8" s="128"/>
    </row>
    <row r="9" spans="1:17" s="127" customFormat="1" x14ac:dyDescent="0.7">
      <c r="A9" s="647"/>
      <c r="B9" s="647"/>
      <c r="C9" s="354" t="s">
        <v>7</v>
      </c>
      <c r="D9" s="125" t="s">
        <v>8</v>
      </c>
      <c r="E9" s="125" t="s">
        <v>9</v>
      </c>
      <c r="F9" s="125" t="s">
        <v>2</v>
      </c>
      <c r="G9" s="125" t="s">
        <v>9</v>
      </c>
      <c r="H9" s="125" t="s">
        <v>2</v>
      </c>
      <c r="I9" s="125" t="s">
        <v>10</v>
      </c>
      <c r="J9" s="647"/>
      <c r="K9" s="128"/>
      <c r="L9" s="129"/>
      <c r="M9" s="130"/>
      <c r="N9" s="128"/>
    </row>
    <row r="10" spans="1:17" x14ac:dyDescent="0.7">
      <c r="A10" s="176">
        <v>1</v>
      </c>
      <c r="B10" s="131" t="s">
        <v>452</v>
      </c>
      <c r="C10" s="355"/>
      <c r="D10" s="132"/>
      <c r="E10" s="133"/>
      <c r="F10" s="134"/>
      <c r="G10" s="133"/>
      <c r="H10" s="134"/>
      <c r="I10" s="134"/>
      <c r="J10" s="135"/>
      <c r="K10" s="108"/>
      <c r="L10" s="108"/>
      <c r="M10" s="108" t="s">
        <v>70</v>
      </c>
      <c r="N10" s="108"/>
    </row>
    <row r="11" spans="1:17" s="147" customFormat="1" x14ac:dyDescent="0.7">
      <c r="A11" s="263">
        <v>1.1000000000000001</v>
      </c>
      <c r="B11" s="136" t="s">
        <v>104</v>
      </c>
      <c r="C11" s="137">
        <f>+M11</f>
        <v>16000</v>
      </c>
      <c r="D11" s="138" t="s">
        <v>25</v>
      </c>
      <c r="E11" s="139"/>
      <c r="F11" s="140">
        <f>C11*E11</f>
        <v>0</v>
      </c>
      <c r="G11" s="139">
        <v>15</v>
      </c>
      <c r="H11" s="137">
        <f>C11*G11</f>
        <v>240000</v>
      </c>
      <c r="I11" s="137">
        <f>SUM(F11,H11)</f>
        <v>240000</v>
      </c>
      <c r="J11" s="141"/>
      <c r="K11" s="142"/>
      <c r="L11" s="143" t="s">
        <v>68</v>
      </c>
      <c r="M11" s="144">
        <v>16000</v>
      </c>
      <c r="N11" s="145" t="s">
        <v>69</v>
      </c>
      <c r="O11" s="146" t="s">
        <v>92</v>
      </c>
      <c r="Q11" s="147" t="s">
        <v>26</v>
      </c>
    </row>
    <row r="12" spans="1:17" s="147" customFormat="1" x14ac:dyDescent="0.7">
      <c r="A12" s="263">
        <v>1.2</v>
      </c>
      <c r="B12" s="136" t="s">
        <v>103</v>
      </c>
      <c r="C12" s="148">
        <v>1</v>
      </c>
      <c r="D12" s="138" t="s">
        <v>43</v>
      </c>
      <c r="E12" s="139"/>
      <c r="F12" s="149">
        <f>C12*E12</f>
        <v>0</v>
      </c>
      <c r="G12" s="139">
        <v>100000</v>
      </c>
      <c r="H12" s="148">
        <f>C12*G12</f>
        <v>100000</v>
      </c>
      <c r="I12" s="148">
        <f>SUM(F12,H12)</f>
        <v>100000</v>
      </c>
      <c r="J12" s="141"/>
      <c r="K12" s="142"/>
      <c r="M12" s="150"/>
      <c r="N12" s="142"/>
      <c r="O12" s="151"/>
    </row>
    <row r="13" spans="1:17" s="160" customFormat="1" x14ac:dyDescent="0.7">
      <c r="A13" s="263">
        <v>1.8</v>
      </c>
      <c r="B13" s="152" t="s">
        <v>106</v>
      </c>
      <c r="C13" s="149">
        <v>1</v>
      </c>
      <c r="D13" s="138" t="s">
        <v>43</v>
      </c>
      <c r="E13" s="139"/>
      <c r="F13" s="149">
        <f>C13*E13</f>
        <v>0</v>
      </c>
      <c r="G13" s="139">
        <v>25440.44</v>
      </c>
      <c r="H13" s="276">
        <f>C13*G13</f>
        <v>25440.44</v>
      </c>
      <c r="I13" s="158">
        <f>SUM(F13,H13)</f>
        <v>25440.44</v>
      </c>
      <c r="J13" s="153"/>
      <c r="K13" s="159"/>
      <c r="M13" s="161"/>
      <c r="N13" s="159"/>
      <c r="O13" s="159"/>
    </row>
    <row r="14" spans="1:17" s="160" customFormat="1" x14ac:dyDescent="0.7">
      <c r="A14" s="263">
        <v>1.9</v>
      </c>
      <c r="B14" s="152" t="s">
        <v>105</v>
      </c>
      <c r="C14" s="149">
        <v>1</v>
      </c>
      <c r="D14" s="138" t="s">
        <v>43</v>
      </c>
      <c r="E14" s="139"/>
      <c r="F14" s="149">
        <f>C14*E14</f>
        <v>0</v>
      </c>
      <c r="G14" s="139">
        <v>25000</v>
      </c>
      <c r="H14" s="149">
        <f>C14*G14</f>
        <v>25000</v>
      </c>
      <c r="I14" s="149">
        <f>SUM(F14,H14)</f>
        <v>25000</v>
      </c>
      <c r="J14" s="153"/>
      <c r="K14" s="159"/>
      <c r="M14" s="161"/>
      <c r="N14" s="159"/>
      <c r="O14" s="159"/>
    </row>
    <row r="15" spans="1:17" s="494" customFormat="1" x14ac:dyDescent="0.7">
      <c r="A15" s="488"/>
      <c r="B15" s="488"/>
      <c r="C15" s="489"/>
      <c r="D15" s="490"/>
      <c r="E15" s="490"/>
      <c r="F15" s="490"/>
      <c r="G15" s="490"/>
      <c r="H15" s="490"/>
      <c r="I15" s="490"/>
      <c r="J15" s="488"/>
      <c r="K15" s="491"/>
      <c r="L15" s="492"/>
      <c r="M15" s="493"/>
      <c r="N15" s="491"/>
    </row>
    <row r="16" spans="1:17" s="494" customFormat="1" x14ac:dyDescent="0.7">
      <c r="A16" s="488"/>
      <c r="B16" s="488"/>
      <c r="C16" s="489"/>
      <c r="D16" s="490"/>
      <c r="E16" s="490"/>
      <c r="F16" s="490"/>
      <c r="G16" s="490"/>
      <c r="H16" s="490"/>
      <c r="I16" s="490"/>
      <c r="J16" s="488"/>
      <c r="K16" s="491"/>
      <c r="L16" s="492"/>
      <c r="M16" s="493"/>
      <c r="N16" s="491"/>
    </row>
    <row r="17" spans="1:15" s="494" customFormat="1" x14ac:dyDescent="0.7">
      <c r="A17" s="488"/>
      <c r="B17" s="488"/>
      <c r="C17" s="489"/>
      <c r="D17" s="490"/>
      <c r="E17" s="490"/>
      <c r="F17" s="490"/>
      <c r="G17" s="490"/>
      <c r="H17" s="490"/>
      <c r="I17" s="490"/>
      <c r="J17" s="488"/>
      <c r="K17" s="491"/>
      <c r="L17" s="492"/>
      <c r="M17" s="493"/>
      <c r="N17" s="491"/>
    </row>
    <row r="18" spans="1:15" s="494" customFormat="1" x14ac:dyDescent="0.7">
      <c r="A18" s="488"/>
      <c r="B18" s="488"/>
      <c r="C18" s="489"/>
      <c r="D18" s="490"/>
      <c r="E18" s="490"/>
      <c r="F18" s="490"/>
      <c r="G18" s="490"/>
      <c r="H18" s="490"/>
      <c r="I18" s="490"/>
      <c r="J18" s="488"/>
      <c r="K18" s="491"/>
      <c r="L18" s="492"/>
      <c r="M18" s="493"/>
      <c r="N18" s="491"/>
    </row>
    <row r="19" spans="1:15" s="494" customFormat="1" x14ac:dyDescent="0.7">
      <c r="A19" s="488"/>
      <c r="B19" s="488"/>
      <c r="C19" s="489"/>
      <c r="D19" s="490"/>
      <c r="E19" s="490"/>
      <c r="F19" s="490"/>
      <c r="G19" s="490"/>
      <c r="H19" s="490"/>
      <c r="I19" s="490"/>
      <c r="J19" s="488"/>
      <c r="K19" s="491"/>
      <c r="L19" s="492"/>
      <c r="M19" s="493"/>
      <c r="N19" s="491"/>
    </row>
    <row r="20" spans="1:15" s="494" customFormat="1" x14ac:dyDescent="0.7">
      <c r="A20" s="488"/>
      <c r="B20" s="488"/>
      <c r="C20" s="489"/>
      <c r="D20" s="490"/>
      <c r="E20" s="490"/>
      <c r="F20" s="490"/>
      <c r="G20" s="490"/>
      <c r="H20" s="490"/>
      <c r="I20" s="490"/>
      <c r="J20" s="488"/>
      <c r="K20" s="491"/>
      <c r="L20" s="492"/>
      <c r="M20" s="493"/>
      <c r="N20" s="491"/>
    </row>
    <row r="21" spans="1:15" x14ac:dyDescent="0.7">
      <c r="A21" s="176">
        <v>2</v>
      </c>
      <c r="B21" s="131" t="s">
        <v>453</v>
      </c>
      <c r="C21" s="355"/>
      <c r="D21" s="132"/>
      <c r="E21" s="133"/>
      <c r="F21" s="134"/>
      <c r="G21" s="133"/>
      <c r="H21" s="134"/>
      <c r="I21" s="134"/>
      <c r="J21" s="135"/>
      <c r="K21" s="108"/>
      <c r="L21" s="108"/>
      <c r="M21" s="108" t="s">
        <v>70</v>
      </c>
      <c r="N21" s="108"/>
    </row>
    <row r="22" spans="1:15" s="147" customFormat="1" x14ac:dyDescent="0.7">
      <c r="A22" s="263">
        <v>1.3</v>
      </c>
      <c r="B22" s="136" t="s">
        <v>354</v>
      </c>
      <c r="C22" s="137">
        <v>9259</v>
      </c>
      <c r="D22" s="138" t="s">
        <v>25</v>
      </c>
      <c r="E22" s="139">
        <v>3.25</v>
      </c>
      <c r="F22" s="140">
        <f t="shared" ref="F22:F26" si="0">C22*E22</f>
        <v>30091.75</v>
      </c>
      <c r="G22" s="139">
        <v>3.5</v>
      </c>
      <c r="H22" s="137">
        <f>C22*G22</f>
        <v>32406.5</v>
      </c>
      <c r="I22" s="137">
        <f t="shared" ref="I22:I25" si="1">SUM(F22,H22)</f>
        <v>62498.25</v>
      </c>
      <c r="J22" s="141"/>
      <c r="K22" s="142"/>
      <c r="L22" s="143"/>
      <c r="M22" s="144"/>
      <c r="N22" s="145"/>
      <c r="O22" s="146"/>
    </row>
    <row r="23" spans="1:15" x14ac:dyDescent="0.7">
      <c r="A23" s="263">
        <v>1.4</v>
      </c>
      <c r="B23" s="152" t="s">
        <v>102</v>
      </c>
      <c r="C23" s="140">
        <f>+M27*0.2</f>
        <v>1326.6000000000001</v>
      </c>
      <c r="D23" s="138" t="s">
        <v>24</v>
      </c>
      <c r="E23" s="139">
        <v>220</v>
      </c>
      <c r="F23" s="140">
        <f t="shared" si="0"/>
        <v>291852.00000000006</v>
      </c>
      <c r="G23" s="139">
        <v>100</v>
      </c>
      <c r="H23" s="140">
        <f t="shared" ref="H23:H25" si="2">C23*G23</f>
        <v>132660</v>
      </c>
      <c r="I23" s="140">
        <f t="shared" si="1"/>
        <v>424512.00000000006</v>
      </c>
      <c r="J23" s="240"/>
      <c r="K23" s="108"/>
      <c r="L23" s="109" t="s">
        <v>68</v>
      </c>
      <c r="M23" s="154">
        <v>941</v>
      </c>
      <c r="N23" s="108" t="s">
        <v>69</v>
      </c>
      <c r="O23" s="155" t="s">
        <v>95</v>
      </c>
    </row>
    <row r="24" spans="1:15" x14ac:dyDescent="0.7">
      <c r="A24" s="263">
        <v>1.5</v>
      </c>
      <c r="B24" s="152" t="s">
        <v>88</v>
      </c>
      <c r="C24" s="140">
        <f>+M27*0.05</f>
        <v>331.65000000000003</v>
      </c>
      <c r="D24" s="138" t="s">
        <v>24</v>
      </c>
      <c r="E24" s="139">
        <v>450</v>
      </c>
      <c r="F24" s="140">
        <f t="shared" si="0"/>
        <v>149242.50000000003</v>
      </c>
      <c r="G24" s="139">
        <v>50</v>
      </c>
      <c r="H24" s="140">
        <f t="shared" si="2"/>
        <v>16582.5</v>
      </c>
      <c r="I24" s="140">
        <f t="shared" si="1"/>
        <v>165825.00000000003</v>
      </c>
      <c r="J24" s="240"/>
      <c r="K24" s="108"/>
      <c r="L24" s="109" t="s">
        <v>68</v>
      </c>
      <c r="M24" s="156">
        <f>16000-M23</f>
        <v>15059</v>
      </c>
      <c r="N24" s="108" t="s">
        <v>69</v>
      </c>
      <c r="O24" s="157" t="s">
        <v>93</v>
      </c>
    </row>
    <row r="25" spans="1:15" s="191" customFormat="1" x14ac:dyDescent="0.7">
      <c r="A25" s="278">
        <v>1.6</v>
      </c>
      <c r="B25" s="182" t="s">
        <v>301</v>
      </c>
      <c r="C25" s="186">
        <f>+M27</f>
        <v>6633</v>
      </c>
      <c r="D25" s="187" t="s">
        <v>25</v>
      </c>
      <c r="E25" s="188">
        <v>42</v>
      </c>
      <c r="F25" s="186">
        <f t="shared" si="0"/>
        <v>278586</v>
      </c>
      <c r="G25" s="188">
        <v>10</v>
      </c>
      <c r="H25" s="186">
        <f t="shared" si="2"/>
        <v>66330</v>
      </c>
      <c r="I25" s="186">
        <f t="shared" si="1"/>
        <v>344916</v>
      </c>
      <c r="J25" s="240"/>
      <c r="K25" s="190"/>
      <c r="L25" s="191" t="s">
        <v>68</v>
      </c>
      <c r="M25" s="279">
        <v>5800</v>
      </c>
      <c r="N25" s="190" t="s">
        <v>69</v>
      </c>
      <c r="O25" s="280" t="s">
        <v>72</v>
      </c>
    </row>
    <row r="26" spans="1:15" x14ac:dyDescent="0.7">
      <c r="A26" s="263">
        <v>1.7</v>
      </c>
      <c r="B26" s="152" t="s">
        <v>79</v>
      </c>
      <c r="C26" s="140">
        <v>136</v>
      </c>
      <c r="D26" s="138" t="s">
        <v>41</v>
      </c>
      <c r="E26" s="139">
        <v>140</v>
      </c>
      <c r="F26" s="140">
        <f t="shared" si="0"/>
        <v>19040</v>
      </c>
      <c r="G26" s="139">
        <v>35</v>
      </c>
      <c r="H26" s="140">
        <f>C26*G26</f>
        <v>4760</v>
      </c>
      <c r="I26" s="140">
        <f>SUM(F26,H26)</f>
        <v>23800</v>
      </c>
      <c r="J26" s="153"/>
      <c r="K26" s="108"/>
      <c r="L26" s="109" t="s">
        <v>68</v>
      </c>
      <c r="M26" s="156">
        <f>+M24-M25</f>
        <v>9259</v>
      </c>
      <c r="N26" s="108" t="s">
        <v>69</v>
      </c>
      <c r="O26" s="157" t="s">
        <v>71</v>
      </c>
    </row>
    <row r="27" spans="1:15" s="170" customFormat="1" x14ac:dyDescent="0.7">
      <c r="A27" s="162"/>
      <c r="B27" s="163" t="s">
        <v>74</v>
      </c>
      <c r="C27" s="356"/>
      <c r="D27" s="164"/>
      <c r="E27" s="165"/>
      <c r="F27" s="166">
        <f>SUM(F11:F26)</f>
        <v>768812.25000000012</v>
      </c>
      <c r="G27" s="166"/>
      <c r="H27" s="166">
        <f>SUM(H11:H26)</f>
        <v>643179.43999999994</v>
      </c>
      <c r="I27" s="166">
        <f>SUM(I11:I26)</f>
        <v>1411991.69</v>
      </c>
      <c r="J27" s="167"/>
      <c r="K27" s="168"/>
      <c r="L27" s="109" t="s">
        <v>68</v>
      </c>
      <c r="M27" s="154">
        <f>+M26-M28-M29</f>
        <v>6633</v>
      </c>
      <c r="N27" s="108" t="s">
        <v>69</v>
      </c>
      <c r="O27" s="169" t="s">
        <v>94</v>
      </c>
    </row>
    <row r="28" spans="1:15" x14ac:dyDescent="0.7">
      <c r="A28" s="176">
        <v>3</v>
      </c>
      <c r="B28" s="131" t="s">
        <v>37</v>
      </c>
      <c r="C28" s="355"/>
      <c r="D28" s="132"/>
      <c r="E28" s="133"/>
      <c r="F28" s="134"/>
      <c r="G28" s="133"/>
      <c r="H28" s="134"/>
      <c r="I28" s="134"/>
      <c r="J28" s="135"/>
      <c r="K28" s="108"/>
      <c r="L28" s="109" t="s">
        <v>68</v>
      </c>
      <c r="M28" s="171">
        <v>1313</v>
      </c>
      <c r="N28" s="108" t="s">
        <v>69</v>
      </c>
      <c r="O28" s="169" t="s">
        <v>87</v>
      </c>
    </row>
    <row r="29" spans="1:15" s="200" customFormat="1" x14ac:dyDescent="0.7">
      <c r="A29" s="481">
        <v>2.1</v>
      </c>
      <c r="B29" s="482" t="s">
        <v>107</v>
      </c>
      <c r="C29" s="483">
        <v>1200</v>
      </c>
      <c r="D29" s="484" t="s">
        <v>24</v>
      </c>
      <c r="E29" s="485">
        <v>550</v>
      </c>
      <c r="F29" s="483">
        <f t="shared" ref="F29:F34" si="3">C29*E29</f>
        <v>660000</v>
      </c>
      <c r="G29" s="485">
        <v>150</v>
      </c>
      <c r="H29" s="483">
        <f t="shared" ref="H29:H35" si="4">C29*G29</f>
        <v>180000</v>
      </c>
      <c r="I29" s="483">
        <f t="shared" ref="I29:I34" si="5">SUM(F29,H29)</f>
        <v>840000</v>
      </c>
      <c r="J29" s="238"/>
      <c r="K29" s="157"/>
      <c r="L29" s="200" t="s">
        <v>68</v>
      </c>
      <c r="M29" s="486">
        <v>1313</v>
      </c>
      <c r="N29" s="157" t="s">
        <v>69</v>
      </c>
      <c r="O29" s="487" t="s">
        <v>87</v>
      </c>
    </row>
    <row r="30" spans="1:15" x14ac:dyDescent="0.7">
      <c r="A30" s="264"/>
      <c r="B30" s="152" t="s">
        <v>451</v>
      </c>
      <c r="C30" s="140"/>
      <c r="D30" s="138"/>
      <c r="E30" s="139"/>
      <c r="F30" s="140"/>
      <c r="G30" s="139"/>
      <c r="H30" s="140"/>
      <c r="I30" s="140"/>
      <c r="J30" s="153"/>
      <c r="K30" s="108"/>
      <c r="M30" s="171"/>
      <c r="N30" s="108"/>
      <c r="O30" s="169"/>
    </row>
    <row r="31" spans="1:15" x14ac:dyDescent="0.7">
      <c r="A31" s="264">
        <v>2.2000000000000002</v>
      </c>
      <c r="B31" s="152" t="s">
        <v>98</v>
      </c>
      <c r="C31" s="140">
        <v>290</v>
      </c>
      <c r="D31" s="138" t="s">
        <v>24</v>
      </c>
      <c r="E31" s="139">
        <v>550</v>
      </c>
      <c r="F31" s="140">
        <f t="shared" si="3"/>
        <v>159500</v>
      </c>
      <c r="G31" s="139">
        <v>50</v>
      </c>
      <c r="H31" s="140">
        <f t="shared" si="4"/>
        <v>14500</v>
      </c>
      <c r="I31" s="140">
        <f t="shared" si="5"/>
        <v>174000</v>
      </c>
      <c r="J31" s="153"/>
      <c r="K31" s="108"/>
      <c r="L31" s="108"/>
      <c r="M31" s="108"/>
      <c r="N31" s="108"/>
    </row>
    <row r="32" spans="1:15" x14ac:dyDescent="0.7">
      <c r="A32" s="264">
        <v>2.2999999999999998</v>
      </c>
      <c r="B32" s="152" t="s">
        <v>160</v>
      </c>
      <c r="C32" s="140">
        <v>5800</v>
      </c>
      <c r="D32" s="138" t="s">
        <v>25</v>
      </c>
      <c r="E32" s="139">
        <v>30</v>
      </c>
      <c r="F32" s="140">
        <f t="shared" si="3"/>
        <v>174000</v>
      </c>
      <c r="G32" s="139">
        <v>5</v>
      </c>
      <c r="H32" s="140">
        <f t="shared" si="4"/>
        <v>29000</v>
      </c>
      <c r="I32" s="140">
        <f t="shared" si="5"/>
        <v>203000</v>
      </c>
      <c r="J32" s="153"/>
      <c r="K32" s="108"/>
      <c r="L32" s="108"/>
      <c r="M32" s="460">
        <v>9258210</v>
      </c>
      <c r="N32" s="108"/>
      <c r="O32" s="462">
        <v>2804683.83</v>
      </c>
    </row>
    <row r="33" spans="1:15" x14ac:dyDescent="0.7">
      <c r="A33" s="264">
        <v>2.4</v>
      </c>
      <c r="B33" s="152" t="s">
        <v>100</v>
      </c>
      <c r="C33" s="140">
        <v>5800</v>
      </c>
      <c r="D33" s="138" t="s">
        <v>25</v>
      </c>
      <c r="E33" s="139">
        <v>8</v>
      </c>
      <c r="F33" s="140">
        <f t="shared" si="3"/>
        <v>46400</v>
      </c>
      <c r="G33" s="139"/>
      <c r="H33" s="140">
        <f t="shared" si="4"/>
        <v>0</v>
      </c>
      <c r="I33" s="140">
        <f t="shared" si="5"/>
        <v>46400</v>
      </c>
      <c r="J33" s="153"/>
      <c r="K33" s="108"/>
      <c r="L33" s="108"/>
      <c r="M33" s="461">
        <f>I35-M32</f>
        <v>335790</v>
      </c>
      <c r="N33" s="108"/>
      <c r="O33" s="463">
        <f>O32-M33</f>
        <v>2468893.83</v>
      </c>
    </row>
    <row r="34" spans="1:15" x14ac:dyDescent="0.7">
      <c r="A34" s="264">
        <v>2.5</v>
      </c>
      <c r="B34" s="152" t="s">
        <v>101</v>
      </c>
      <c r="C34" s="140">
        <v>580</v>
      </c>
      <c r="D34" s="138" t="s">
        <v>24</v>
      </c>
      <c r="E34" s="139">
        <v>2115</v>
      </c>
      <c r="F34" s="140">
        <f t="shared" si="3"/>
        <v>1226700</v>
      </c>
      <c r="G34" s="139">
        <v>350</v>
      </c>
      <c r="H34" s="140">
        <f t="shared" si="4"/>
        <v>203000</v>
      </c>
      <c r="I34" s="140">
        <f t="shared" si="5"/>
        <v>1429700</v>
      </c>
      <c r="J34" s="474"/>
      <c r="K34" s="108"/>
      <c r="L34" s="108"/>
      <c r="M34" s="238" t="s">
        <v>158</v>
      </c>
      <c r="N34" s="108"/>
    </row>
    <row r="35" spans="1:15" s="191" customFormat="1" ht="61.5" x14ac:dyDescent="0.7">
      <c r="A35" s="446">
        <v>2.6</v>
      </c>
      <c r="B35" s="447" t="s">
        <v>355</v>
      </c>
      <c r="C35" s="448">
        <v>4797</v>
      </c>
      <c r="D35" s="449" t="s">
        <v>25</v>
      </c>
      <c r="E35" s="450">
        <v>1800</v>
      </c>
      <c r="F35" s="448">
        <f>C35*E35</f>
        <v>8634600</v>
      </c>
      <c r="G35" s="450">
        <v>200</v>
      </c>
      <c r="H35" s="448">
        <f t="shared" si="4"/>
        <v>959400</v>
      </c>
      <c r="I35" s="448">
        <f>SUM(F35,H35)</f>
        <v>9594000</v>
      </c>
      <c r="J35" s="451"/>
      <c r="K35" s="190"/>
      <c r="L35" s="190"/>
      <c r="M35" s="190"/>
      <c r="N35" s="190"/>
    </row>
    <row r="36" spans="1:15" x14ac:dyDescent="0.7">
      <c r="A36" s="172"/>
      <c r="B36" s="163" t="s">
        <v>73</v>
      </c>
      <c r="C36" s="357"/>
      <c r="D36" s="173"/>
      <c r="E36" s="174"/>
      <c r="F36" s="166">
        <f>SUM(F29:F35)</f>
        <v>10901200</v>
      </c>
      <c r="G36" s="165"/>
      <c r="H36" s="166">
        <f>SUM(H29:H35)</f>
        <v>1385900</v>
      </c>
      <c r="I36" s="166">
        <f>SUM(I29:I35)</f>
        <v>12287100</v>
      </c>
      <c r="J36" s="175"/>
      <c r="K36" s="239" t="s">
        <v>159</v>
      </c>
      <c r="L36" s="108"/>
      <c r="M36" s="108"/>
      <c r="N36" s="108"/>
    </row>
    <row r="37" spans="1:15" s="181" customFormat="1" x14ac:dyDescent="0.7">
      <c r="A37" s="176">
        <v>3</v>
      </c>
      <c r="B37" s="131" t="s">
        <v>89</v>
      </c>
      <c r="C37" s="358"/>
      <c r="D37" s="177"/>
      <c r="E37" s="178"/>
      <c r="F37" s="179"/>
      <c r="G37" s="178"/>
      <c r="H37" s="179"/>
      <c r="I37" s="179"/>
      <c r="J37" s="468" t="s">
        <v>448</v>
      </c>
      <c r="K37" s="180"/>
      <c r="L37" s="180"/>
      <c r="M37" s="180"/>
      <c r="N37" s="180"/>
    </row>
    <row r="38" spans="1:15" s="191" customFormat="1" x14ac:dyDescent="0.7">
      <c r="A38" s="263">
        <v>3.1</v>
      </c>
      <c r="B38" s="152" t="s">
        <v>102</v>
      </c>
      <c r="C38" s="140">
        <f>236.2*2</f>
        <v>472.4</v>
      </c>
      <c r="D38" s="138" t="s">
        <v>24</v>
      </c>
      <c r="E38" s="139">
        <v>220</v>
      </c>
      <c r="F38" s="140">
        <f t="shared" ref="F38:F40" si="6">C38*E38</f>
        <v>103928</v>
      </c>
      <c r="G38" s="139">
        <v>100</v>
      </c>
      <c r="H38" s="140">
        <f t="shared" ref="H38:H40" si="7">C38*G38</f>
        <v>47240</v>
      </c>
      <c r="I38" s="140">
        <f t="shared" ref="I38:I40" si="8">SUM(F38,H38)</f>
        <v>151168</v>
      </c>
      <c r="J38" s="240"/>
      <c r="K38" s="280"/>
      <c r="L38" s="280"/>
      <c r="M38" s="280"/>
      <c r="N38" s="190"/>
    </row>
    <row r="39" spans="1:15" s="191" customFormat="1" x14ac:dyDescent="0.7">
      <c r="A39" s="263">
        <v>3.2</v>
      </c>
      <c r="B39" s="152" t="s">
        <v>88</v>
      </c>
      <c r="C39" s="140">
        <f>2368*0.05</f>
        <v>118.4</v>
      </c>
      <c r="D39" s="138" t="s">
        <v>24</v>
      </c>
      <c r="E39" s="139">
        <v>450</v>
      </c>
      <c r="F39" s="140">
        <f t="shared" si="6"/>
        <v>53280</v>
      </c>
      <c r="G39" s="139">
        <v>50</v>
      </c>
      <c r="H39" s="140">
        <f t="shared" si="7"/>
        <v>5920</v>
      </c>
      <c r="I39" s="140">
        <f t="shared" si="8"/>
        <v>59200</v>
      </c>
      <c r="J39" s="240"/>
      <c r="K39" s="190"/>
      <c r="L39" s="190"/>
      <c r="M39" s="190"/>
      <c r="N39" s="190"/>
    </row>
    <row r="40" spans="1:15" s="191" customFormat="1" x14ac:dyDescent="0.7">
      <c r="A40" s="278">
        <v>3.3</v>
      </c>
      <c r="B40" s="182" t="s">
        <v>301</v>
      </c>
      <c r="C40" s="186">
        <v>2368</v>
      </c>
      <c r="D40" s="187" t="s">
        <v>25</v>
      </c>
      <c r="E40" s="188">
        <v>42</v>
      </c>
      <c r="F40" s="186">
        <f t="shared" si="6"/>
        <v>99456</v>
      </c>
      <c r="G40" s="188">
        <v>10</v>
      </c>
      <c r="H40" s="186">
        <f t="shared" si="7"/>
        <v>23680</v>
      </c>
      <c r="I40" s="186">
        <f t="shared" si="8"/>
        <v>123136</v>
      </c>
      <c r="J40" s="343" t="s">
        <v>449</v>
      </c>
      <c r="K40" s="190" t="s">
        <v>450</v>
      </c>
      <c r="L40" s="190"/>
      <c r="M40" s="190"/>
      <c r="N40" s="190"/>
    </row>
    <row r="41" spans="1:15" x14ac:dyDescent="0.7">
      <c r="A41" s="162"/>
      <c r="B41" s="163" t="s">
        <v>90</v>
      </c>
      <c r="C41" s="356"/>
      <c r="D41" s="164"/>
      <c r="E41" s="165"/>
      <c r="F41" s="166"/>
      <c r="G41" s="166"/>
      <c r="H41" s="166"/>
      <c r="I41" s="457">
        <f>SUM(I38:I40)</f>
        <v>333504</v>
      </c>
      <c r="J41" s="167"/>
      <c r="K41" s="108"/>
      <c r="L41" s="108"/>
      <c r="M41" s="108"/>
      <c r="N41" s="108"/>
    </row>
    <row r="42" spans="1:15" s="181" customFormat="1" x14ac:dyDescent="0.7">
      <c r="A42" s="176">
        <v>4</v>
      </c>
      <c r="B42" s="131" t="s">
        <v>91</v>
      </c>
      <c r="C42" s="355"/>
      <c r="D42" s="132"/>
      <c r="E42" s="133"/>
      <c r="F42" s="134"/>
      <c r="G42" s="133"/>
      <c r="H42" s="134"/>
      <c r="I42" s="134"/>
      <c r="J42" s="135"/>
      <c r="K42" s="180"/>
      <c r="L42" s="180"/>
      <c r="M42" s="180"/>
      <c r="N42" s="180"/>
    </row>
    <row r="43" spans="1:15" x14ac:dyDescent="0.7">
      <c r="A43" s="264">
        <v>4.0999999999999996</v>
      </c>
      <c r="B43" s="152" t="s">
        <v>107</v>
      </c>
      <c r="C43" s="140">
        <v>190</v>
      </c>
      <c r="D43" s="138" t="s">
        <v>24</v>
      </c>
      <c r="E43" s="139">
        <v>550</v>
      </c>
      <c r="F43" s="149">
        <f>C43*E43</f>
        <v>104500</v>
      </c>
      <c r="G43" s="139">
        <v>150</v>
      </c>
      <c r="H43" s="140">
        <f>C43*G43</f>
        <v>28500</v>
      </c>
      <c r="I43" s="140">
        <f>SUM(F43,H43)</f>
        <v>133000</v>
      </c>
      <c r="J43" s="153"/>
      <c r="K43" s="108"/>
      <c r="L43" s="108"/>
      <c r="M43" s="108"/>
      <c r="N43" s="108"/>
    </row>
    <row r="44" spans="1:15" x14ac:dyDescent="0.7">
      <c r="A44" s="264">
        <v>4.2</v>
      </c>
      <c r="B44" s="152" t="s">
        <v>96</v>
      </c>
      <c r="C44" s="140">
        <f>+C43*0.05</f>
        <v>9.5</v>
      </c>
      <c r="D44" s="138" t="s">
        <v>24</v>
      </c>
      <c r="E44" s="139">
        <v>500</v>
      </c>
      <c r="F44" s="140">
        <f>C44*E44</f>
        <v>4750</v>
      </c>
      <c r="G44" s="139">
        <v>50</v>
      </c>
      <c r="H44" s="140">
        <f>C44*G44</f>
        <v>475</v>
      </c>
      <c r="I44" s="140">
        <f>SUM(F44,H44)</f>
        <v>5225</v>
      </c>
      <c r="J44" s="153"/>
      <c r="K44" s="108"/>
      <c r="L44" s="108"/>
      <c r="M44" s="108"/>
      <c r="N44" s="108"/>
    </row>
    <row r="45" spans="1:15" x14ac:dyDescent="0.7">
      <c r="A45" s="264">
        <v>4.3</v>
      </c>
      <c r="B45" s="152" t="s">
        <v>109</v>
      </c>
      <c r="C45" s="140">
        <f>+C43*0.1</f>
        <v>19</v>
      </c>
      <c r="D45" s="138" t="s">
        <v>24</v>
      </c>
      <c r="E45" s="139">
        <v>2115</v>
      </c>
      <c r="F45" s="140">
        <f>C45*E45</f>
        <v>40185</v>
      </c>
      <c r="G45" s="139">
        <v>350</v>
      </c>
      <c r="H45" s="140">
        <f>C45*G45</f>
        <v>6650</v>
      </c>
      <c r="I45" s="140">
        <f>SUM(F45,H45)</f>
        <v>46835</v>
      </c>
      <c r="J45" s="153"/>
      <c r="K45" s="108"/>
      <c r="L45" s="108"/>
      <c r="M45" s="108"/>
      <c r="N45" s="108"/>
    </row>
    <row r="46" spans="1:15" x14ac:dyDescent="0.7">
      <c r="A46" s="264">
        <v>4.4000000000000004</v>
      </c>
      <c r="B46" s="152" t="s">
        <v>97</v>
      </c>
      <c r="C46" s="140">
        <v>941</v>
      </c>
      <c r="D46" s="138" t="s">
        <v>25</v>
      </c>
      <c r="E46" s="139">
        <v>33</v>
      </c>
      <c r="F46" s="140">
        <f>C46*E46</f>
        <v>31053</v>
      </c>
      <c r="G46" s="139">
        <v>5</v>
      </c>
      <c r="H46" s="140">
        <f>C46*G46</f>
        <v>4705</v>
      </c>
      <c r="I46" s="140">
        <f>SUM(F46,H46)</f>
        <v>35758</v>
      </c>
      <c r="J46" s="153"/>
      <c r="K46" s="108"/>
      <c r="L46" s="108"/>
      <c r="M46" s="108"/>
      <c r="N46" s="108"/>
    </row>
    <row r="47" spans="1:15" x14ac:dyDescent="0.7">
      <c r="A47" s="264">
        <v>4.5</v>
      </c>
      <c r="B47" s="152" t="s">
        <v>113</v>
      </c>
      <c r="C47" s="140">
        <v>941</v>
      </c>
      <c r="D47" s="138" t="s">
        <v>25</v>
      </c>
      <c r="E47" s="139">
        <v>115</v>
      </c>
      <c r="F47" s="149">
        <f>C47*E47</f>
        <v>108215</v>
      </c>
      <c r="G47" s="139">
        <v>25</v>
      </c>
      <c r="H47" s="149">
        <f>C47*G47</f>
        <v>23525</v>
      </c>
      <c r="I47" s="149">
        <f>SUM(F47,H47)</f>
        <v>131740</v>
      </c>
      <c r="J47" s="153"/>
      <c r="K47" s="108"/>
      <c r="L47" s="108"/>
      <c r="M47" s="108"/>
      <c r="N47" s="108"/>
    </row>
    <row r="48" spans="1:15" x14ac:dyDescent="0.7">
      <c r="A48" s="172"/>
      <c r="B48" s="163" t="s">
        <v>90</v>
      </c>
      <c r="C48" s="357"/>
      <c r="D48" s="173"/>
      <c r="E48" s="174"/>
      <c r="F48" s="166">
        <f>SUM(F43:F47)</f>
        <v>288703</v>
      </c>
      <c r="G48" s="166"/>
      <c r="H48" s="166">
        <f>SUM(H43:H47)</f>
        <v>63855</v>
      </c>
      <c r="I48" s="166">
        <f>SUM(I43:I47)</f>
        <v>352558</v>
      </c>
      <c r="J48" s="175"/>
      <c r="K48" s="108"/>
      <c r="L48" s="108"/>
      <c r="M48" s="108"/>
      <c r="N48" s="108"/>
    </row>
    <row r="49" spans="1:14" x14ac:dyDescent="0.7">
      <c r="A49" s="176">
        <v>5</v>
      </c>
      <c r="B49" s="131" t="s">
        <v>38</v>
      </c>
      <c r="C49" s="355"/>
      <c r="D49" s="132"/>
      <c r="E49" s="133"/>
      <c r="F49" s="134"/>
      <c r="G49" s="133"/>
      <c r="H49" s="134"/>
      <c r="I49" s="134"/>
      <c r="J49" s="135"/>
      <c r="K49" s="108"/>
      <c r="L49" s="108"/>
      <c r="M49" s="108"/>
      <c r="N49" s="108"/>
    </row>
    <row r="50" spans="1:14" x14ac:dyDescent="0.7">
      <c r="A50" s="260">
        <v>5.0999999999999996</v>
      </c>
      <c r="B50" s="182" t="s">
        <v>78</v>
      </c>
      <c r="C50" s="140">
        <v>396</v>
      </c>
      <c r="D50" s="138" t="s">
        <v>41</v>
      </c>
      <c r="E50" s="139"/>
      <c r="F50" s="140">
        <f>C50*E50</f>
        <v>0</v>
      </c>
      <c r="G50" s="139">
        <v>50</v>
      </c>
      <c r="H50" s="140">
        <f>C50*G50</f>
        <v>19800</v>
      </c>
      <c r="I50" s="140">
        <f>SUM(F50,H50)</f>
        <v>19800</v>
      </c>
      <c r="J50" s="183"/>
      <c r="K50" s="108"/>
      <c r="L50" s="108" t="s">
        <v>76</v>
      </c>
      <c r="M50" s="184">
        <v>396</v>
      </c>
      <c r="N50" s="108" t="s">
        <v>77</v>
      </c>
    </row>
    <row r="51" spans="1:14" x14ac:dyDescent="0.7">
      <c r="A51" s="260">
        <v>5.2</v>
      </c>
      <c r="B51" s="152" t="s">
        <v>303</v>
      </c>
      <c r="C51" s="140">
        <v>211</v>
      </c>
      <c r="D51" s="138" t="s">
        <v>41</v>
      </c>
      <c r="E51" s="188">
        <v>1200</v>
      </c>
      <c r="F51" s="140">
        <f>C51*E51</f>
        <v>253200</v>
      </c>
      <c r="G51" s="188">
        <v>250</v>
      </c>
      <c r="H51" s="140">
        <f>C51*G51</f>
        <v>52750</v>
      </c>
      <c r="I51" s="140">
        <f>SUM(F51,H51)</f>
        <v>305950</v>
      </c>
      <c r="J51" s="153"/>
      <c r="K51" s="108"/>
      <c r="L51" s="108"/>
      <c r="M51" s="159"/>
      <c r="N51" s="108"/>
    </row>
    <row r="52" spans="1:14" x14ac:dyDescent="0.7">
      <c r="A52" s="260">
        <v>5.3</v>
      </c>
      <c r="B52" s="152" t="s">
        <v>302</v>
      </c>
      <c r="C52" s="140">
        <v>186</v>
      </c>
      <c r="D52" s="138" t="s">
        <v>41</v>
      </c>
      <c r="E52" s="188">
        <v>1200</v>
      </c>
      <c r="F52" s="140">
        <f>C52*E52</f>
        <v>223200</v>
      </c>
      <c r="G52" s="188">
        <v>250</v>
      </c>
      <c r="H52" s="140">
        <f>C52*G52</f>
        <v>46500</v>
      </c>
      <c r="I52" s="140">
        <f>SUM(F52,H52)</f>
        <v>269700</v>
      </c>
      <c r="J52" s="153"/>
      <c r="K52" s="108"/>
      <c r="L52" s="108"/>
      <c r="M52" s="159"/>
      <c r="N52" s="108"/>
    </row>
    <row r="53" spans="1:14" x14ac:dyDescent="0.7">
      <c r="A53" s="260">
        <v>5.4</v>
      </c>
      <c r="B53" s="152" t="s">
        <v>376</v>
      </c>
      <c r="C53" s="284">
        <f>(397*0.1*0.3*2)+(0.5*0.1*397)</f>
        <v>43.67</v>
      </c>
      <c r="D53" s="138" t="s">
        <v>24</v>
      </c>
      <c r="E53" s="139">
        <v>2115</v>
      </c>
      <c r="F53" s="149">
        <f t="shared" ref="F53:F56" si="9">C53*E53</f>
        <v>92362.05</v>
      </c>
      <c r="G53" s="139">
        <v>350</v>
      </c>
      <c r="H53" s="149">
        <f t="shared" ref="H53:H56" si="10">C53*G53</f>
        <v>15284.5</v>
      </c>
      <c r="I53" s="149">
        <f t="shared" ref="I53:I56" si="11">SUM(F53,H53)</f>
        <v>107646.55</v>
      </c>
      <c r="J53" s="153"/>
      <c r="K53" s="108"/>
      <c r="L53" s="108"/>
      <c r="M53" s="159"/>
      <c r="N53" s="108"/>
    </row>
    <row r="54" spans="1:14" x14ac:dyDescent="0.7">
      <c r="A54" s="260">
        <v>5.5</v>
      </c>
      <c r="B54" s="283" t="s">
        <v>99</v>
      </c>
      <c r="C54" s="222">
        <f>+(397*0.3*2)+(397*0.4)</f>
        <v>397</v>
      </c>
      <c r="D54" s="138" t="s">
        <v>25</v>
      </c>
      <c r="E54" s="139">
        <v>30</v>
      </c>
      <c r="F54" s="140">
        <f t="shared" si="9"/>
        <v>11910</v>
      </c>
      <c r="G54" s="139">
        <v>5</v>
      </c>
      <c r="H54" s="140">
        <f t="shared" si="10"/>
        <v>1985</v>
      </c>
      <c r="I54" s="140">
        <f t="shared" si="11"/>
        <v>13895</v>
      </c>
      <c r="J54" s="153"/>
      <c r="K54" s="108"/>
      <c r="L54" s="108"/>
      <c r="M54" s="159"/>
      <c r="N54" s="108"/>
    </row>
    <row r="55" spans="1:14" x14ac:dyDescent="0.7">
      <c r="A55" s="260">
        <v>5.6</v>
      </c>
      <c r="B55" s="277" t="s">
        <v>262</v>
      </c>
      <c r="C55" s="284">
        <f>+(397*0.3*2*0.8)</f>
        <v>190.56</v>
      </c>
      <c r="D55" s="138" t="s">
        <v>25</v>
      </c>
      <c r="E55" s="139">
        <v>451.4</v>
      </c>
      <c r="F55" s="149">
        <f t="shared" si="9"/>
        <v>86018.784</v>
      </c>
      <c r="G55" s="139">
        <v>133</v>
      </c>
      <c r="H55" s="149">
        <f t="shared" si="10"/>
        <v>25344.48</v>
      </c>
      <c r="I55" s="149">
        <f t="shared" si="11"/>
        <v>111363.264</v>
      </c>
      <c r="J55" s="153"/>
      <c r="K55" s="108"/>
      <c r="L55" s="108"/>
      <c r="M55" s="159"/>
      <c r="N55" s="108"/>
    </row>
    <row r="56" spans="1:14" x14ac:dyDescent="0.7">
      <c r="A56" s="260">
        <v>5.7</v>
      </c>
      <c r="B56" s="277" t="s">
        <v>96</v>
      </c>
      <c r="C56" s="149">
        <f>+(0.5*0.05*397*1.25)</f>
        <v>12.40625</v>
      </c>
      <c r="D56" s="138" t="s">
        <v>24</v>
      </c>
      <c r="E56" s="139">
        <v>508</v>
      </c>
      <c r="F56" s="149">
        <f t="shared" si="9"/>
        <v>6302.375</v>
      </c>
      <c r="G56" s="139">
        <v>100</v>
      </c>
      <c r="H56" s="149">
        <f t="shared" si="10"/>
        <v>1240.625</v>
      </c>
      <c r="I56" s="149">
        <f t="shared" si="11"/>
        <v>7543</v>
      </c>
      <c r="J56" s="153"/>
      <c r="K56" s="108"/>
      <c r="L56" s="108"/>
      <c r="M56" s="159"/>
      <c r="N56" s="108"/>
    </row>
    <row r="57" spans="1:14" s="170" customFormat="1" x14ac:dyDescent="0.7">
      <c r="A57" s="162"/>
      <c r="B57" s="163" t="s">
        <v>75</v>
      </c>
      <c r="C57" s="356"/>
      <c r="D57" s="164"/>
      <c r="E57" s="165"/>
      <c r="F57" s="166">
        <f>SUM(F50:F56)</f>
        <v>672993.20900000003</v>
      </c>
      <c r="G57" s="165"/>
      <c r="H57" s="166">
        <f>SUM(H50:H56)</f>
        <v>162904.60500000001</v>
      </c>
      <c r="I57" s="166">
        <f>SUM(I50:I56)</f>
        <v>835897.81400000001</v>
      </c>
      <c r="J57" s="167"/>
      <c r="K57" s="168"/>
      <c r="L57" s="168"/>
      <c r="M57" s="185" t="s">
        <v>26</v>
      </c>
      <c r="N57" s="168"/>
    </row>
    <row r="58" spans="1:14" s="351" customFormat="1" x14ac:dyDescent="0.7">
      <c r="A58" s="176">
        <v>6</v>
      </c>
      <c r="B58" s="131" t="s">
        <v>366</v>
      </c>
      <c r="C58" s="355"/>
      <c r="D58" s="132"/>
      <c r="E58" s="133"/>
      <c r="F58" s="134"/>
      <c r="G58" s="133"/>
      <c r="H58" s="134"/>
      <c r="I58" s="134"/>
      <c r="J58" s="135"/>
      <c r="K58" s="349"/>
      <c r="L58" s="349"/>
      <c r="M58" s="350"/>
      <c r="N58" s="349"/>
    </row>
    <row r="59" spans="1:14" x14ac:dyDescent="0.7">
      <c r="A59" s="253">
        <v>6.1</v>
      </c>
      <c r="B59" s="182" t="s">
        <v>78</v>
      </c>
      <c r="C59" s="186">
        <v>390.4</v>
      </c>
      <c r="D59" s="187" t="s">
        <v>41</v>
      </c>
      <c r="E59" s="188"/>
      <c r="F59" s="186">
        <f t="shared" ref="F59:F67" si="12">C59*E59</f>
        <v>0</v>
      </c>
      <c r="G59" s="188">
        <v>50</v>
      </c>
      <c r="H59" s="186">
        <f t="shared" ref="H59:H67" si="13">C59*G59</f>
        <v>19520</v>
      </c>
      <c r="I59" s="186">
        <f t="shared" ref="I59" si="14">SUM(F59,H59)</f>
        <v>19520</v>
      </c>
      <c r="J59" s="189"/>
      <c r="K59" s="108"/>
      <c r="L59" s="108" t="s">
        <v>76</v>
      </c>
      <c r="M59" s="184">
        <v>493</v>
      </c>
      <c r="N59" s="108" t="s">
        <v>77</v>
      </c>
    </row>
    <row r="60" spans="1:14" s="191" customFormat="1" x14ac:dyDescent="0.7">
      <c r="A60" s="253">
        <v>6.2</v>
      </c>
      <c r="B60" s="283" t="s">
        <v>263</v>
      </c>
      <c r="C60" s="225">
        <v>66.5</v>
      </c>
      <c r="D60" s="289" t="s">
        <v>24</v>
      </c>
      <c r="E60" s="288">
        <v>2115</v>
      </c>
      <c r="F60" s="225">
        <f t="shared" si="12"/>
        <v>140647.5</v>
      </c>
      <c r="G60" s="288">
        <v>350</v>
      </c>
      <c r="H60" s="225">
        <f t="shared" si="13"/>
        <v>23275</v>
      </c>
      <c r="I60" s="292">
        <f t="shared" ref="I60" si="15">F60+H60</f>
        <v>163922.5</v>
      </c>
      <c r="J60" s="343"/>
      <c r="K60" s="190"/>
      <c r="L60" s="190"/>
      <c r="M60" s="346"/>
      <c r="N60" s="190"/>
    </row>
    <row r="61" spans="1:14" s="191" customFormat="1" x14ac:dyDescent="0.7">
      <c r="A61" s="253">
        <v>6.3</v>
      </c>
      <c r="B61" s="182" t="s">
        <v>315</v>
      </c>
      <c r="C61" s="186">
        <v>3768</v>
      </c>
      <c r="D61" s="187" t="s">
        <v>35</v>
      </c>
      <c r="E61" s="345">
        <v>22.1</v>
      </c>
      <c r="F61" s="290">
        <f t="shared" si="12"/>
        <v>83272.800000000003</v>
      </c>
      <c r="G61" s="345">
        <v>3.6</v>
      </c>
      <c r="H61" s="290">
        <f t="shared" si="13"/>
        <v>13564.800000000001</v>
      </c>
      <c r="I61" s="290">
        <f t="shared" ref="I61:I67" si="16">SUM(F61,H61)</f>
        <v>96837.6</v>
      </c>
      <c r="J61" s="189"/>
      <c r="K61" s="190"/>
      <c r="L61" s="190"/>
      <c r="M61" s="346"/>
      <c r="N61" s="190"/>
    </row>
    <row r="62" spans="1:14" s="191" customFormat="1" x14ac:dyDescent="0.7">
      <c r="A62" s="253">
        <v>6.4</v>
      </c>
      <c r="B62" s="182" t="s">
        <v>313</v>
      </c>
      <c r="C62" s="225">
        <v>1043.3599999999999</v>
      </c>
      <c r="D62" s="187" t="s">
        <v>35</v>
      </c>
      <c r="E62" s="345">
        <v>22.75</v>
      </c>
      <c r="F62" s="290">
        <f t="shared" si="12"/>
        <v>23736.44</v>
      </c>
      <c r="G62" s="345">
        <v>4.4000000000000004</v>
      </c>
      <c r="H62" s="290">
        <f t="shared" si="13"/>
        <v>4590.7839999999997</v>
      </c>
      <c r="I62" s="290">
        <f t="shared" si="16"/>
        <v>28327.223999999998</v>
      </c>
      <c r="J62" s="189"/>
      <c r="K62" s="190"/>
      <c r="L62" s="190"/>
      <c r="M62" s="346"/>
      <c r="N62" s="190"/>
    </row>
    <row r="63" spans="1:14" s="191" customFormat="1" x14ac:dyDescent="0.7">
      <c r="A63" s="253">
        <v>6.5</v>
      </c>
      <c r="B63" s="182" t="s">
        <v>260</v>
      </c>
      <c r="C63" s="186">
        <v>2913.34</v>
      </c>
      <c r="D63" s="187" t="s">
        <v>35</v>
      </c>
      <c r="E63" s="345">
        <v>22.1</v>
      </c>
      <c r="F63" s="290">
        <f t="shared" si="12"/>
        <v>64384.814000000006</v>
      </c>
      <c r="G63" s="345">
        <v>3.6</v>
      </c>
      <c r="H63" s="290">
        <f t="shared" si="13"/>
        <v>10488.024000000001</v>
      </c>
      <c r="I63" s="290">
        <f t="shared" si="16"/>
        <v>74872.838000000003</v>
      </c>
      <c r="J63" s="189"/>
      <c r="K63" s="190"/>
      <c r="L63" s="190"/>
      <c r="M63" s="346"/>
      <c r="N63" s="190"/>
    </row>
    <row r="64" spans="1:14" s="191" customFormat="1" x14ac:dyDescent="0.7">
      <c r="A64" s="253">
        <v>6.6</v>
      </c>
      <c r="B64" s="182" t="s">
        <v>335</v>
      </c>
      <c r="C64" s="186">
        <f>547*0.9</f>
        <v>492.3</v>
      </c>
      <c r="D64" s="187" t="s">
        <v>25</v>
      </c>
      <c r="E64" s="288">
        <v>451.4</v>
      </c>
      <c r="F64" s="225">
        <f t="shared" si="12"/>
        <v>222224.22</v>
      </c>
      <c r="G64" s="288">
        <v>133</v>
      </c>
      <c r="H64" s="225">
        <f t="shared" si="13"/>
        <v>65475.9</v>
      </c>
      <c r="I64" s="204">
        <f t="shared" si="16"/>
        <v>287700.12</v>
      </c>
      <c r="J64" s="189"/>
      <c r="K64" s="190"/>
      <c r="L64" s="190"/>
      <c r="M64" s="346"/>
      <c r="N64" s="190"/>
    </row>
    <row r="65" spans="1:14" s="191" customFormat="1" x14ac:dyDescent="0.7">
      <c r="A65" s="253">
        <v>6.7</v>
      </c>
      <c r="B65" s="182" t="s">
        <v>96</v>
      </c>
      <c r="C65" s="225">
        <v>4.9400000000000004</v>
      </c>
      <c r="D65" s="289" t="s">
        <v>24</v>
      </c>
      <c r="E65" s="345">
        <v>508</v>
      </c>
      <c r="F65" s="225">
        <f t="shared" si="12"/>
        <v>2509.52</v>
      </c>
      <c r="G65" s="288"/>
      <c r="H65" s="225">
        <f t="shared" si="13"/>
        <v>0</v>
      </c>
      <c r="I65" s="204">
        <f t="shared" si="16"/>
        <v>2509.52</v>
      </c>
      <c r="J65" s="189"/>
      <c r="K65" s="190"/>
      <c r="L65" s="190"/>
      <c r="M65" s="346"/>
      <c r="N65" s="190"/>
    </row>
    <row r="66" spans="1:14" s="191" customFormat="1" ht="25.15" customHeight="1" x14ac:dyDescent="0.7">
      <c r="A66" s="253">
        <v>6.8</v>
      </c>
      <c r="B66" s="182" t="s">
        <v>360</v>
      </c>
      <c r="C66" s="225">
        <v>3</v>
      </c>
      <c r="D66" s="289" t="s">
        <v>24</v>
      </c>
      <c r="E66" s="345">
        <v>1610</v>
      </c>
      <c r="F66" s="225">
        <f t="shared" si="12"/>
        <v>4830</v>
      </c>
      <c r="G66" s="345">
        <v>426</v>
      </c>
      <c r="H66" s="225">
        <f t="shared" si="13"/>
        <v>1278</v>
      </c>
      <c r="I66" s="204">
        <f t="shared" si="16"/>
        <v>6108</v>
      </c>
      <c r="J66" s="347"/>
      <c r="K66" s="190"/>
      <c r="L66" s="190"/>
      <c r="M66" s="346"/>
      <c r="N66" s="190"/>
    </row>
    <row r="67" spans="1:14" s="191" customFormat="1" x14ac:dyDescent="0.7">
      <c r="A67" s="253">
        <v>6.9</v>
      </c>
      <c r="B67" s="182" t="s">
        <v>304</v>
      </c>
      <c r="C67" s="186">
        <v>493</v>
      </c>
      <c r="D67" s="187" t="s">
        <v>41</v>
      </c>
      <c r="E67" s="188">
        <v>750</v>
      </c>
      <c r="F67" s="186">
        <f t="shared" si="12"/>
        <v>369750</v>
      </c>
      <c r="G67" s="188">
        <v>250</v>
      </c>
      <c r="H67" s="186">
        <f t="shared" si="13"/>
        <v>123250</v>
      </c>
      <c r="I67" s="186">
        <f t="shared" si="16"/>
        <v>493000</v>
      </c>
      <c r="J67" s="189"/>
      <c r="K67" s="190"/>
      <c r="L67" s="190"/>
      <c r="M67" s="190"/>
      <c r="N67" s="190"/>
    </row>
    <row r="68" spans="1:14" s="170" customFormat="1" x14ac:dyDescent="0.7">
      <c r="A68" s="162"/>
      <c r="B68" s="163" t="s">
        <v>80</v>
      </c>
      <c r="C68" s="356"/>
      <c r="D68" s="164"/>
      <c r="E68" s="165"/>
      <c r="F68" s="166">
        <f>SUM(F59:F67)</f>
        <v>911355.29399999999</v>
      </c>
      <c r="G68" s="165"/>
      <c r="H68" s="166">
        <f>SUM(H59:H67)</f>
        <v>261442.508</v>
      </c>
      <c r="I68" s="166">
        <f>SUM(I59:I67)</f>
        <v>1172797.8019999999</v>
      </c>
      <c r="J68" s="167"/>
      <c r="K68" s="168"/>
      <c r="L68" s="168"/>
      <c r="M68" s="168"/>
      <c r="N68" s="168"/>
    </row>
    <row r="69" spans="1:14" s="181" customFormat="1" x14ac:dyDescent="0.7">
      <c r="A69" s="176">
        <v>7</v>
      </c>
      <c r="B69" s="131" t="s">
        <v>81</v>
      </c>
      <c r="C69" s="355"/>
      <c r="D69" s="132"/>
      <c r="E69" s="133"/>
      <c r="F69" s="134"/>
      <c r="G69" s="133"/>
      <c r="H69" s="134"/>
      <c r="I69" s="134"/>
      <c r="J69" s="135"/>
      <c r="K69" s="180"/>
      <c r="L69" s="180"/>
      <c r="M69" s="180"/>
      <c r="N69" s="180"/>
    </row>
    <row r="70" spans="1:14" s="181" customFormat="1" x14ac:dyDescent="0.7">
      <c r="A70" s="264">
        <v>7.1</v>
      </c>
      <c r="B70" s="152" t="s">
        <v>82</v>
      </c>
      <c r="C70" s="140">
        <v>494</v>
      </c>
      <c r="D70" s="138" t="s">
        <v>41</v>
      </c>
      <c r="E70" s="139"/>
      <c r="F70" s="140">
        <f>C70*E70</f>
        <v>0</v>
      </c>
      <c r="G70" s="139">
        <v>125</v>
      </c>
      <c r="H70" s="140">
        <f>C70*G70</f>
        <v>61750</v>
      </c>
      <c r="I70" s="140">
        <f>SUM(F70,H70)</f>
        <v>61750</v>
      </c>
      <c r="J70" s="183"/>
      <c r="K70" s="180"/>
      <c r="L70" s="180"/>
      <c r="M70" s="180"/>
      <c r="N70" s="180"/>
    </row>
    <row r="71" spans="1:14" x14ac:dyDescent="0.7">
      <c r="A71" s="264">
        <v>7.2</v>
      </c>
      <c r="B71" s="152" t="s">
        <v>362</v>
      </c>
      <c r="C71" s="140">
        <v>6</v>
      </c>
      <c r="D71" s="138" t="s">
        <v>23</v>
      </c>
      <c r="E71" s="139">
        <v>2750</v>
      </c>
      <c r="F71" s="140">
        <f t="shared" ref="F71:F74" si="17">C71*E71</f>
        <v>16500</v>
      </c>
      <c r="G71" s="188">
        <v>700</v>
      </c>
      <c r="H71" s="140">
        <f t="shared" ref="H71:H74" si="18">C71*G71</f>
        <v>4200</v>
      </c>
      <c r="I71" s="140">
        <f t="shared" ref="I71:I74" si="19">SUM(F71,H71)</f>
        <v>20700</v>
      </c>
      <c r="J71" s="153"/>
      <c r="K71" s="108"/>
      <c r="L71" s="108"/>
      <c r="M71" s="108"/>
      <c r="N71" s="108"/>
    </row>
    <row r="72" spans="1:14" x14ac:dyDescent="0.7">
      <c r="A72" s="264">
        <v>7.3</v>
      </c>
      <c r="B72" s="152" t="s">
        <v>363</v>
      </c>
      <c r="C72" s="140">
        <v>3</v>
      </c>
      <c r="D72" s="138" t="s">
        <v>23</v>
      </c>
      <c r="E72" s="139">
        <v>1125</v>
      </c>
      <c r="F72" s="140">
        <f t="shared" si="17"/>
        <v>3375</v>
      </c>
      <c r="G72" s="188">
        <v>700</v>
      </c>
      <c r="H72" s="140">
        <f t="shared" si="18"/>
        <v>2100</v>
      </c>
      <c r="I72" s="140">
        <f t="shared" si="19"/>
        <v>5475</v>
      </c>
      <c r="J72" s="153"/>
      <c r="K72" s="108"/>
      <c r="L72" s="108"/>
      <c r="M72" s="108"/>
      <c r="N72" s="108"/>
    </row>
    <row r="73" spans="1:14" x14ac:dyDescent="0.7">
      <c r="A73" s="264">
        <v>7.4</v>
      </c>
      <c r="B73" s="152" t="s">
        <v>368</v>
      </c>
      <c r="C73" s="140">
        <v>36</v>
      </c>
      <c r="D73" s="138" t="s">
        <v>41</v>
      </c>
      <c r="E73" s="139">
        <v>787</v>
      </c>
      <c r="F73" s="140">
        <f t="shared" si="17"/>
        <v>28332</v>
      </c>
      <c r="G73" s="139"/>
      <c r="H73" s="140">
        <f t="shared" si="18"/>
        <v>0</v>
      </c>
      <c r="I73" s="140">
        <f t="shared" si="19"/>
        <v>28332</v>
      </c>
      <c r="J73" s="153" t="s">
        <v>367</v>
      </c>
      <c r="K73" s="108"/>
      <c r="L73" s="108"/>
      <c r="M73" s="108"/>
      <c r="N73" s="108"/>
    </row>
    <row r="74" spans="1:14" x14ac:dyDescent="0.7">
      <c r="A74" s="264">
        <v>7.5</v>
      </c>
      <c r="B74" s="152" t="s">
        <v>369</v>
      </c>
      <c r="C74" s="140">
        <v>100</v>
      </c>
      <c r="D74" s="138" t="s">
        <v>41</v>
      </c>
      <c r="E74" s="139">
        <v>397</v>
      </c>
      <c r="F74" s="140">
        <f t="shared" si="17"/>
        <v>39700</v>
      </c>
      <c r="G74" s="139"/>
      <c r="H74" s="140">
        <f t="shared" si="18"/>
        <v>0</v>
      </c>
      <c r="I74" s="140">
        <f t="shared" si="19"/>
        <v>39700</v>
      </c>
      <c r="J74" s="153" t="s">
        <v>367</v>
      </c>
      <c r="K74" s="108"/>
      <c r="L74" s="108"/>
      <c r="M74" s="108"/>
      <c r="N74" s="108"/>
    </row>
    <row r="75" spans="1:14" x14ac:dyDescent="0.7">
      <c r="A75" s="264">
        <v>7.6</v>
      </c>
      <c r="B75" s="152" t="s">
        <v>83</v>
      </c>
      <c r="C75" s="140">
        <v>3</v>
      </c>
      <c r="D75" s="138" t="s">
        <v>84</v>
      </c>
      <c r="E75" s="139"/>
      <c r="F75" s="140">
        <f>C75*E75</f>
        <v>0</v>
      </c>
      <c r="G75" s="139">
        <v>3000</v>
      </c>
      <c r="H75" s="140">
        <f>C75*G75</f>
        <v>9000</v>
      </c>
      <c r="I75" s="140">
        <f>SUM(F75,H75)</f>
        <v>9000</v>
      </c>
      <c r="J75" s="153"/>
      <c r="K75" s="108"/>
      <c r="L75" s="108"/>
      <c r="M75" s="108"/>
      <c r="N75" s="108"/>
    </row>
    <row r="76" spans="1:14" s="170" customFormat="1" x14ac:dyDescent="0.7">
      <c r="A76" s="162"/>
      <c r="B76" s="163" t="s">
        <v>85</v>
      </c>
      <c r="C76" s="356"/>
      <c r="D76" s="164"/>
      <c r="E76" s="165"/>
      <c r="F76" s="166">
        <f>SUM(F70:F75)</f>
        <v>87907</v>
      </c>
      <c r="G76" s="165"/>
      <c r="H76" s="166">
        <f>SUM(H70:H75)</f>
        <v>77050</v>
      </c>
      <c r="I76" s="166">
        <f>SUM(I70:I75)</f>
        <v>164957</v>
      </c>
      <c r="J76" s="167"/>
      <c r="K76" s="168"/>
      <c r="L76" s="168"/>
      <c r="M76" s="168"/>
      <c r="N76" s="168"/>
    </row>
    <row r="77" spans="1:14" x14ac:dyDescent="0.7">
      <c r="A77" s="192">
        <v>8</v>
      </c>
      <c r="B77" s="291" t="s">
        <v>306</v>
      </c>
      <c r="C77" s="359"/>
      <c r="D77" s="193" t="s">
        <v>26</v>
      </c>
      <c r="E77" s="194"/>
      <c r="F77" s="195"/>
      <c r="G77" s="194"/>
      <c r="H77" s="195"/>
      <c r="I77" s="195"/>
      <c r="J77" s="196"/>
    </row>
    <row r="78" spans="1:14" s="191" customFormat="1" x14ac:dyDescent="0.7">
      <c r="A78" s="201">
        <v>8.1</v>
      </c>
      <c r="B78" s="244" t="s">
        <v>374</v>
      </c>
      <c r="C78" s="360"/>
      <c r="D78" s="241"/>
      <c r="E78" s="286"/>
      <c r="F78" s="287"/>
      <c r="G78" s="286"/>
      <c r="H78" s="243"/>
      <c r="I78" s="243"/>
      <c r="J78" s="202"/>
    </row>
    <row r="79" spans="1:14" s="191" customFormat="1" x14ac:dyDescent="0.7">
      <c r="A79" s="253" t="s">
        <v>162</v>
      </c>
      <c r="B79" s="283" t="s">
        <v>307</v>
      </c>
      <c r="C79" s="281">
        <v>8</v>
      </c>
      <c r="D79" s="187" t="s">
        <v>23</v>
      </c>
      <c r="E79" s="188">
        <v>1350</v>
      </c>
      <c r="F79" s="204">
        <f t="shared" ref="F79:F90" si="20">C79*E79</f>
        <v>10800</v>
      </c>
      <c r="G79" s="188">
        <v>405</v>
      </c>
      <c r="H79" s="204">
        <f t="shared" ref="H79:H90" si="21">C79*G79</f>
        <v>3240</v>
      </c>
      <c r="I79" s="204">
        <f t="shared" ref="I79:I89" si="22">F79+H79</f>
        <v>14040</v>
      </c>
      <c r="J79" s="209"/>
    </row>
    <row r="80" spans="1:14" s="191" customFormat="1" x14ac:dyDescent="0.7">
      <c r="A80" s="253" t="s">
        <v>163</v>
      </c>
      <c r="B80" s="283" t="s">
        <v>164</v>
      </c>
      <c r="C80" s="281">
        <v>2</v>
      </c>
      <c r="D80" s="187" t="s">
        <v>236</v>
      </c>
      <c r="E80" s="188">
        <v>1074</v>
      </c>
      <c r="F80" s="204">
        <f t="shared" si="20"/>
        <v>2148</v>
      </c>
      <c r="G80" s="188">
        <v>660</v>
      </c>
      <c r="H80" s="204">
        <f t="shared" si="21"/>
        <v>1320</v>
      </c>
      <c r="I80" s="204">
        <f t="shared" si="22"/>
        <v>3468</v>
      </c>
      <c r="J80" s="209"/>
    </row>
    <row r="81" spans="1:11" s="191" customFormat="1" x14ac:dyDescent="0.7">
      <c r="A81" s="253" t="s">
        <v>172</v>
      </c>
      <c r="B81" s="283" t="s">
        <v>165</v>
      </c>
      <c r="C81" s="281">
        <v>8</v>
      </c>
      <c r="D81" s="187" t="s">
        <v>237</v>
      </c>
      <c r="E81" s="188">
        <v>150</v>
      </c>
      <c r="F81" s="204">
        <f t="shared" si="20"/>
        <v>1200</v>
      </c>
      <c r="G81" s="188">
        <v>45</v>
      </c>
      <c r="H81" s="204">
        <f t="shared" si="21"/>
        <v>360</v>
      </c>
      <c r="I81" s="204">
        <f t="shared" si="22"/>
        <v>1560</v>
      </c>
      <c r="J81" s="209"/>
    </row>
    <row r="82" spans="1:11" s="191" customFormat="1" x14ac:dyDescent="0.7">
      <c r="A82" s="253" t="s">
        <v>173</v>
      </c>
      <c r="B82" s="283" t="s">
        <v>308</v>
      </c>
      <c r="C82" s="281">
        <v>8</v>
      </c>
      <c r="D82" s="187" t="s">
        <v>23</v>
      </c>
      <c r="E82" s="188">
        <v>600</v>
      </c>
      <c r="F82" s="204">
        <f t="shared" si="20"/>
        <v>4800</v>
      </c>
      <c r="G82" s="188">
        <v>180</v>
      </c>
      <c r="H82" s="204">
        <f t="shared" si="21"/>
        <v>1440</v>
      </c>
      <c r="I82" s="204">
        <f t="shared" si="22"/>
        <v>6240</v>
      </c>
      <c r="J82" s="209"/>
    </row>
    <row r="83" spans="1:11" s="191" customFormat="1" x14ac:dyDescent="0.7">
      <c r="A83" s="253" t="s">
        <v>174</v>
      </c>
      <c r="B83" s="283" t="s">
        <v>167</v>
      </c>
      <c r="C83" s="281">
        <v>8</v>
      </c>
      <c r="D83" s="187" t="s">
        <v>23</v>
      </c>
      <c r="E83" s="188">
        <v>600</v>
      </c>
      <c r="F83" s="204">
        <f t="shared" si="20"/>
        <v>4800</v>
      </c>
      <c r="G83" s="188">
        <v>180</v>
      </c>
      <c r="H83" s="204">
        <f t="shared" si="21"/>
        <v>1440</v>
      </c>
      <c r="I83" s="204">
        <f t="shared" si="22"/>
        <v>6240</v>
      </c>
      <c r="J83" s="209"/>
    </row>
    <row r="84" spans="1:11" s="191" customFormat="1" x14ac:dyDescent="0.7">
      <c r="A84" s="253" t="s">
        <v>175</v>
      </c>
      <c r="B84" s="283" t="s">
        <v>168</v>
      </c>
      <c r="C84" s="281">
        <v>8</v>
      </c>
      <c r="D84" s="187" t="s">
        <v>237</v>
      </c>
      <c r="E84" s="188">
        <v>800</v>
      </c>
      <c r="F84" s="204">
        <f t="shared" si="20"/>
        <v>6400</v>
      </c>
      <c r="G84" s="188">
        <v>240</v>
      </c>
      <c r="H84" s="204">
        <f t="shared" si="21"/>
        <v>1920</v>
      </c>
      <c r="I84" s="204">
        <f t="shared" si="22"/>
        <v>8320</v>
      </c>
      <c r="J84" s="209"/>
    </row>
    <row r="85" spans="1:11" s="191" customFormat="1" x14ac:dyDescent="0.7">
      <c r="A85" s="253" t="s">
        <v>176</v>
      </c>
      <c r="B85" s="283" t="s">
        <v>169</v>
      </c>
      <c r="C85" s="281">
        <v>8</v>
      </c>
      <c r="D85" s="187" t="s">
        <v>237</v>
      </c>
      <c r="E85" s="188">
        <v>452</v>
      </c>
      <c r="F85" s="204">
        <f t="shared" si="20"/>
        <v>3616</v>
      </c>
      <c r="G85" s="188">
        <v>135</v>
      </c>
      <c r="H85" s="204">
        <f t="shared" si="21"/>
        <v>1080</v>
      </c>
      <c r="I85" s="204">
        <f t="shared" si="22"/>
        <v>4696</v>
      </c>
      <c r="J85" s="209"/>
    </row>
    <row r="86" spans="1:11" s="191" customFormat="1" x14ac:dyDescent="0.7">
      <c r="A86" s="253" t="s">
        <v>177</v>
      </c>
      <c r="B86" s="283" t="s">
        <v>170</v>
      </c>
      <c r="C86" s="281">
        <v>8</v>
      </c>
      <c r="D86" s="187" t="s">
        <v>237</v>
      </c>
      <c r="E86" s="188">
        <v>1500</v>
      </c>
      <c r="F86" s="204">
        <f t="shared" si="20"/>
        <v>12000</v>
      </c>
      <c r="G86" s="188">
        <v>450</v>
      </c>
      <c r="H86" s="204">
        <f t="shared" si="21"/>
        <v>3600</v>
      </c>
      <c r="I86" s="204">
        <f t="shared" si="22"/>
        <v>15600</v>
      </c>
      <c r="J86" s="209"/>
    </row>
    <row r="87" spans="1:11" s="191" customFormat="1" x14ac:dyDescent="0.7">
      <c r="A87" s="253" t="s">
        <v>178</v>
      </c>
      <c r="B87" s="283" t="s">
        <v>309</v>
      </c>
      <c r="C87" s="281">
        <v>444</v>
      </c>
      <c r="D87" s="187" t="s">
        <v>41</v>
      </c>
      <c r="E87" s="188">
        <v>126</v>
      </c>
      <c r="F87" s="290">
        <f t="shared" si="20"/>
        <v>55944</v>
      </c>
      <c r="G87" s="188">
        <v>100</v>
      </c>
      <c r="H87" s="204">
        <f t="shared" si="21"/>
        <v>44400</v>
      </c>
      <c r="I87" s="204">
        <f t="shared" si="22"/>
        <v>100344</v>
      </c>
      <c r="J87" s="209"/>
    </row>
    <row r="88" spans="1:11" s="191" customFormat="1" x14ac:dyDescent="0.7">
      <c r="A88" s="253" t="s">
        <v>179</v>
      </c>
      <c r="B88" s="283" t="s">
        <v>166</v>
      </c>
      <c r="C88" s="361">
        <f>444*0.3*0.2</f>
        <v>26.64</v>
      </c>
      <c r="D88" s="289" t="s">
        <v>24</v>
      </c>
      <c r="E88" s="188"/>
      <c r="F88" s="243">
        <f t="shared" si="20"/>
        <v>0</v>
      </c>
      <c r="G88" s="188">
        <v>120</v>
      </c>
      <c r="H88" s="292">
        <f t="shared" si="21"/>
        <v>3196.8</v>
      </c>
      <c r="I88" s="292">
        <f t="shared" si="22"/>
        <v>3196.8</v>
      </c>
      <c r="J88" s="202"/>
    </row>
    <row r="89" spans="1:11" s="191" customFormat="1" x14ac:dyDescent="0.7">
      <c r="A89" s="253" t="s">
        <v>180</v>
      </c>
      <c r="B89" s="283" t="s">
        <v>171</v>
      </c>
      <c r="C89" s="361">
        <v>1</v>
      </c>
      <c r="D89" s="289" t="s">
        <v>24</v>
      </c>
      <c r="E89" s="139">
        <v>2115</v>
      </c>
      <c r="F89" s="149">
        <f t="shared" si="20"/>
        <v>2115</v>
      </c>
      <c r="G89" s="139">
        <v>350</v>
      </c>
      <c r="H89" s="149">
        <f t="shared" si="21"/>
        <v>350</v>
      </c>
      <c r="I89" s="293">
        <f t="shared" si="22"/>
        <v>2465</v>
      </c>
      <c r="J89" s="202"/>
    </row>
    <row r="90" spans="1:11" s="191" customFormat="1" x14ac:dyDescent="0.7">
      <c r="A90" s="253" t="s">
        <v>181</v>
      </c>
      <c r="B90" s="277" t="s">
        <v>296</v>
      </c>
      <c r="C90" s="361">
        <v>30</v>
      </c>
      <c r="D90" s="138" t="s">
        <v>35</v>
      </c>
      <c r="E90" s="139">
        <v>22</v>
      </c>
      <c r="F90" s="149">
        <f t="shared" si="20"/>
        <v>660</v>
      </c>
      <c r="G90" s="139">
        <v>4.0999999999999996</v>
      </c>
      <c r="H90" s="149">
        <f t="shared" si="21"/>
        <v>122.99999999999999</v>
      </c>
      <c r="I90" s="149">
        <f t="shared" ref="I90" si="23">SUM(F90,H90)</f>
        <v>783</v>
      </c>
      <c r="J90" s="202"/>
    </row>
    <row r="91" spans="1:11" s="191" customFormat="1" x14ac:dyDescent="0.7">
      <c r="A91" s="247"/>
      <c r="B91" s="252" t="s">
        <v>232</v>
      </c>
      <c r="C91" s="362"/>
      <c r="D91" s="248"/>
      <c r="E91" s="249"/>
      <c r="F91" s="250">
        <f>SUM(F79:F90)</f>
        <v>104483</v>
      </c>
      <c r="G91" s="249"/>
      <c r="H91" s="250">
        <f>SUM(H79:H90)</f>
        <v>62469.8</v>
      </c>
      <c r="I91" s="250">
        <f>SUM(I79:I90)</f>
        <v>166952.79999999999</v>
      </c>
      <c r="J91" s="251"/>
      <c r="K91" s="470"/>
    </row>
    <row r="92" spans="1:11" s="191" customFormat="1" x14ac:dyDescent="0.7">
      <c r="A92" s="246">
        <v>8.1999999999999993</v>
      </c>
      <c r="B92" s="245" t="s">
        <v>344</v>
      </c>
      <c r="C92" s="360"/>
      <c r="D92" s="241"/>
      <c r="E92" s="242"/>
      <c r="F92" s="243"/>
      <c r="G92" s="242"/>
      <c r="H92" s="243"/>
      <c r="I92" s="243"/>
      <c r="J92" s="344"/>
      <c r="K92" s="471" t="s">
        <v>361</v>
      </c>
    </row>
    <row r="93" spans="1:11" s="191" customFormat="1" x14ac:dyDescent="0.7">
      <c r="A93" s="253" t="s">
        <v>182</v>
      </c>
      <c r="B93" s="182" t="s">
        <v>310</v>
      </c>
      <c r="C93" s="363">
        <v>1</v>
      </c>
      <c r="D93" s="187" t="s">
        <v>23</v>
      </c>
      <c r="E93" s="288">
        <v>28050</v>
      </c>
      <c r="F93" s="290">
        <f>C93*E93</f>
        <v>28050</v>
      </c>
      <c r="G93" s="288"/>
      <c r="H93" s="290">
        <f>C93*G93</f>
        <v>0</v>
      </c>
      <c r="I93" s="290">
        <f>F93+H93</f>
        <v>28050</v>
      </c>
      <c r="J93" s="202"/>
      <c r="K93" s="472" t="e">
        <f>J92-#REF!</f>
        <v>#REF!</v>
      </c>
    </row>
    <row r="94" spans="1:11" s="191" customFormat="1" x14ac:dyDescent="0.7">
      <c r="A94" s="253" t="s">
        <v>186</v>
      </c>
      <c r="B94" s="182" t="s">
        <v>183</v>
      </c>
      <c r="C94" s="363">
        <v>1</v>
      </c>
      <c r="D94" s="187" t="s">
        <v>23</v>
      </c>
      <c r="E94" s="288">
        <v>450</v>
      </c>
      <c r="F94" s="290">
        <f t="shared" ref="F94:F99" si="24">C94*E94</f>
        <v>450</v>
      </c>
      <c r="G94" s="288"/>
      <c r="H94" s="290">
        <f t="shared" ref="H94:H99" si="25">C94*G94</f>
        <v>0</v>
      </c>
      <c r="I94" s="290">
        <f t="shared" ref="I94:I97" si="26">F94+H94</f>
        <v>450</v>
      </c>
      <c r="J94" s="202"/>
    </row>
    <row r="95" spans="1:11" s="191" customFormat="1" x14ac:dyDescent="0.7">
      <c r="A95" s="253" t="s">
        <v>187</v>
      </c>
      <c r="B95" s="182" t="s">
        <v>184</v>
      </c>
      <c r="C95" s="363">
        <v>1</v>
      </c>
      <c r="D95" s="187" t="s">
        <v>23</v>
      </c>
      <c r="E95" s="288">
        <v>2400</v>
      </c>
      <c r="F95" s="290">
        <f t="shared" si="24"/>
        <v>2400</v>
      </c>
      <c r="G95" s="288"/>
      <c r="H95" s="290">
        <f t="shared" si="25"/>
        <v>0</v>
      </c>
      <c r="I95" s="290">
        <f t="shared" si="26"/>
        <v>2400</v>
      </c>
      <c r="J95" s="202"/>
    </row>
    <row r="96" spans="1:11" s="191" customFormat="1" x14ac:dyDescent="0.7">
      <c r="A96" s="253" t="s">
        <v>188</v>
      </c>
      <c r="B96" s="182" t="s">
        <v>185</v>
      </c>
      <c r="C96" s="363">
        <v>1</v>
      </c>
      <c r="D96" s="187" t="s">
        <v>23</v>
      </c>
      <c r="E96" s="288">
        <v>22000</v>
      </c>
      <c r="F96" s="290">
        <f t="shared" si="24"/>
        <v>22000</v>
      </c>
      <c r="G96" s="288"/>
      <c r="H96" s="290">
        <f t="shared" si="25"/>
        <v>0</v>
      </c>
      <c r="I96" s="290">
        <f t="shared" si="26"/>
        <v>22000</v>
      </c>
      <c r="J96" s="202"/>
    </row>
    <row r="97" spans="1:10" s="191" customFormat="1" x14ac:dyDescent="0.7">
      <c r="A97" s="253" t="s">
        <v>189</v>
      </c>
      <c r="B97" s="182" t="s">
        <v>357</v>
      </c>
      <c r="C97" s="363">
        <v>1</v>
      </c>
      <c r="D97" s="187" t="s">
        <v>23</v>
      </c>
      <c r="E97" s="288"/>
      <c r="F97" s="290">
        <f t="shared" si="24"/>
        <v>0</v>
      </c>
      <c r="G97" s="288">
        <v>36945</v>
      </c>
      <c r="H97" s="290">
        <f t="shared" si="25"/>
        <v>36945</v>
      </c>
      <c r="I97" s="290">
        <f t="shared" si="26"/>
        <v>36945</v>
      </c>
      <c r="J97" s="202"/>
    </row>
    <row r="98" spans="1:10" s="210" customFormat="1" x14ac:dyDescent="0.7">
      <c r="A98" s="253" t="s">
        <v>341</v>
      </c>
      <c r="B98" s="182" t="s">
        <v>356</v>
      </c>
      <c r="C98" s="186">
        <v>1</v>
      </c>
      <c r="D98" s="187" t="s">
        <v>23</v>
      </c>
      <c r="E98" s="203">
        <v>125000</v>
      </c>
      <c r="F98" s="204">
        <f t="shared" si="24"/>
        <v>125000</v>
      </c>
      <c r="G98" s="203">
        <v>20000</v>
      </c>
      <c r="H98" s="204">
        <f t="shared" si="25"/>
        <v>20000</v>
      </c>
      <c r="I98" s="204">
        <f t="shared" ref="I98:I99" si="27">SUM(F98,H98)</f>
        <v>145000</v>
      </c>
      <c r="J98" s="202"/>
    </row>
    <row r="99" spans="1:10" s="210" customFormat="1" x14ac:dyDescent="0.7">
      <c r="A99" s="253" t="s">
        <v>342</v>
      </c>
      <c r="B99" s="182" t="s">
        <v>343</v>
      </c>
      <c r="C99" s="140">
        <v>1</v>
      </c>
      <c r="D99" s="138" t="s">
        <v>23</v>
      </c>
      <c r="E99" s="203">
        <v>8500</v>
      </c>
      <c r="F99" s="204">
        <f t="shared" si="24"/>
        <v>8500</v>
      </c>
      <c r="G99" s="203">
        <v>1500</v>
      </c>
      <c r="H99" s="204">
        <f t="shared" si="25"/>
        <v>1500</v>
      </c>
      <c r="I99" s="204">
        <f t="shared" si="27"/>
        <v>10000</v>
      </c>
      <c r="J99" s="202"/>
    </row>
    <row r="100" spans="1:10" s="191" customFormat="1" x14ac:dyDescent="0.7">
      <c r="A100" s="247"/>
      <c r="B100" s="252" t="s">
        <v>233</v>
      </c>
      <c r="C100" s="362"/>
      <c r="D100" s="248"/>
      <c r="E100" s="249"/>
      <c r="F100" s="250">
        <f>SUM(F93:F99)</f>
        <v>186400</v>
      </c>
      <c r="G100" s="249"/>
      <c r="H100" s="250">
        <f>SUM(H93:H99)</f>
        <v>58445</v>
      </c>
      <c r="I100" s="250">
        <f>SUM(I93:I99)</f>
        <v>244845</v>
      </c>
      <c r="J100" s="342"/>
    </row>
    <row r="101" spans="1:10" s="191" customFormat="1" x14ac:dyDescent="0.7">
      <c r="A101" s="246">
        <v>8.3000000000000007</v>
      </c>
      <c r="B101" s="245" t="s">
        <v>191</v>
      </c>
      <c r="C101" s="360"/>
      <c r="D101" s="241"/>
      <c r="E101" s="242"/>
      <c r="F101" s="243"/>
      <c r="G101" s="203"/>
      <c r="H101" s="243"/>
      <c r="I101" s="243"/>
      <c r="J101" s="202"/>
    </row>
    <row r="102" spans="1:10" s="191" customFormat="1" x14ac:dyDescent="0.7">
      <c r="A102" s="253" t="s">
        <v>190</v>
      </c>
      <c r="B102" s="182" t="s">
        <v>192</v>
      </c>
      <c r="C102" s="364">
        <v>3</v>
      </c>
      <c r="D102" s="187" t="s">
        <v>236</v>
      </c>
      <c r="E102" s="288">
        <v>2509.8000000000002</v>
      </c>
      <c r="F102" s="204">
        <f t="shared" ref="F102:F112" si="28">C102*E102</f>
        <v>7529.4000000000005</v>
      </c>
      <c r="G102" s="188">
        <v>1500</v>
      </c>
      <c r="H102" s="204">
        <f t="shared" ref="H102:H112" si="29">C102*G102</f>
        <v>4500</v>
      </c>
      <c r="I102" s="204">
        <f t="shared" ref="I102:I112" si="30">F102+H102</f>
        <v>12029.400000000001</v>
      </c>
      <c r="J102" s="202"/>
    </row>
    <row r="103" spans="1:10" s="191" customFormat="1" x14ac:dyDescent="0.7">
      <c r="A103" s="253" t="s">
        <v>203</v>
      </c>
      <c r="B103" s="182" t="s">
        <v>193</v>
      </c>
      <c r="C103" s="364">
        <v>1</v>
      </c>
      <c r="D103" s="187" t="s">
        <v>23</v>
      </c>
      <c r="E103" s="288">
        <v>5300</v>
      </c>
      <c r="F103" s="204">
        <f t="shared" si="28"/>
        <v>5300</v>
      </c>
      <c r="G103" s="188">
        <v>800</v>
      </c>
      <c r="H103" s="204">
        <f t="shared" si="29"/>
        <v>800</v>
      </c>
      <c r="I103" s="204">
        <f t="shared" si="30"/>
        <v>6100</v>
      </c>
      <c r="J103" s="202"/>
    </row>
    <row r="104" spans="1:10" s="191" customFormat="1" x14ac:dyDescent="0.7">
      <c r="A104" s="253" t="s">
        <v>204</v>
      </c>
      <c r="B104" s="182" t="s">
        <v>194</v>
      </c>
      <c r="C104" s="364">
        <v>1</v>
      </c>
      <c r="D104" s="187" t="s">
        <v>237</v>
      </c>
      <c r="E104" s="288">
        <v>190</v>
      </c>
      <c r="F104" s="204">
        <f t="shared" si="28"/>
        <v>190</v>
      </c>
      <c r="G104" s="188">
        <v>57</v>
      </c>
      <c r="H104" s="204">
        <f t="shared" si="29"/>
        <v>57</v>
      </c>
      <c r="I104" s="204">
        <f t="shared" si="30"/>
        <v>247</v>
      </c>
      <c r="J104" s="202"/>
    </row>
    <row r="105" spans="1:10" s="191" customFormat="1" x14ac:dyDescent="0.7">
      <c r="A105" s="253" t="s">
        <v>205</v>
      </c>
      <c r="B105" s="182" t="s">
        <v>195</v>
      </c>
      <c r="C105" s="364">
        <v>4</v>
      </c>
      <c r="D105" s="187" t="s">
        <v>237</v>
      </c>
      <c r="E105" s="288">
        <v>800</v>
      </c>
      <c r="F105" s="204">
        <f t="shared" si="28"/>
        <v>3200</v>
      </c>
      <c r="G105" s="188">
        <v>240</v>
      </c>
      <c r="H105" s="204">
        <f t="shared" si="29"/>
        <v>960</v>
      </c>
      <c r="I105" s="204">
        <f t="shared" si="30"/>
        <v>4160</v>
      </c>
      <c r="J105" s="202"/>
    </row>
    <row r="106" spans="1:10" s="191" customFormat="1" x14ac:dyDescent="0.7">
      <c r="A106" s="253" t="s">
        <v>206</v>
      </c>
      <c r="B106" s="182" t="s">
        <v>196</v>
      </c>
      <c r="C106" s="364">
        <v>1</v>
      </c>
      <c r="D106" s="187" t="s">
        <v>237</v>
      </c>
      <c r="E106" s="288">
        <v>700</v>
      </c>
      <c r="F106" s="204">
        <f t="shared" si="28"/>
        <v>700</v>
      </c>
      <c r="G106" s="188">
        <v>210</v>
      </c>
      <c r="H106" s="204">
        <f t="shared" si="29"/>
        <v>210</v>
      </c>
      <c r="I106" s="204">
        <f t="shared" si="30"/>
        <v>910</v>
      </c>
      <c r="J106" s="202"/>
    </row>
    <row r="107" spans="1:10" s="191" customFormat="1" x14ac:dyDescent="0.7">
      <c r="A107" s="253" t="s">
        <v>207</v>
      </c>
      <c r="B107" s="182" t="s">
        <v>197</v>
      </c>
      <c r="C107" s="364">
        <v>1</v>
      </c>
      <c r="D107" s="187" t="s">
        <v>237</v>
      </c>
      <c r="E107" s="288">
        <v>4000</v>
      </c>
      <c r="F107" s="204">
        <f t="shared" si="28"/>
        <v>4000</v>
      </c>
      <c r="G107" s="188">
        <v>800</v>
      </c>
      <c r="H107" s="204">
        <f t="shared" si="29"/>
        <v>800</v>
      </c>
      <c r="I107" s="204">
        <f t="shared" si="30"/>
        <v>4800</v>
      </c>
      <c r="J107" s="202"/>
    </row>
    <row r="108" spans="1:10" s="191" customFormat="1" x14ac:dyDescent="0.7">
      <c r="A108" s="253" t="s">
        <v>208</v>
      </c>
      <c r="B108" s="182" t="s">
        <v>198</v>
      </c>
      <c r="C108" s="364">
        <v>1</v>
      </c>
      <c r="D108" s="187" t="s">
        <v>237</v>
      </c>
      <c r="E108" s="288">
        <v>200</v>
      </c>
      <c r="F108" s="204">
        <f t="shared" si="28"/>
        <v>200</v>
      </c>
      <c r="G108" s="188">
        <v>60</v>
      </c>
      <c r="H108" s="204">
        <f t="shared" si="29"/>
        <v>60</v>
      </c>
      <c r="I108" s="204">
        <f t="shared" si="30"/>
        <v>260</v>
      </c>
      <c r="J108" s="202"/>
    </row>
    <row r="109" spans="1:10" s="191" customFormat="1" x14ac:dyDescent="0.7">
      <c r="A109" s="253" t="s">
        <v>209</v>
      </c>
      <c r="B109" s="182" t="s">
        <v>199</v>
      </c>
      <c r="C109" s="364">
        <v>3</v>
      </c>
      <c r="D109" s="187" t="s">
        <v>23</v>
      </c>
      <c r="E109" s="288">
        <v>1000</v>
      </c>
      <c r="F109" s="204">
        <f t="shared" si="28"/>
        <v>3000</v>
      </c>
      <c r="G109" s="188">
        <v>300</v>
      </c>
      <c r="H109" s="204">
        <f t="shared" si="29"/>
        <v>900</v>
      </c>
      <c r="I109" s="204">
        <f t="shared" si="30"/>
        <v>3900</v>
      </c>
      <c r="J109" s="202"/>
    </row>
    <row r="110" spans="1:10" s="191" customFormat="1" x14ac:dyDescent="0.7">
      <c r="A110" s="253" t="s">
        <v>210</v>
      </c>
      <c r="B110" s="182" t="s">
        <v>200</v>
      </c>
      <c r="C110" s="364">
        <v>1</v>
      </c>
      <c r="D110" s="187" t="s">
        <v>23</v>
      </c>
      <c r="E110" s="288">
        <v>3000</v>
      </c>
      <c r="F110" s="204">
        <f t="shared" si="28"/>
        <v>3000</v>
      </c>
      <c r="G110" s="188">
        <v>800</v>
      </c>
      <c r="H110" s="204">
        <f t="shared" si="29"/>
        <v>800</v>
      </c>
      <c r="I110" s="204">
        <f t="shared" si="30"/>
        <v>3800</v>
      </c>
      <c r="J110" s="202"/>
    </row>
    <row r="111" spans="1:10" s="191" customFormat="1" x14ac:dyDescent="0.7">
      <c r="A111" s="253" t="s">
        <v>211</v>
      </c>
      <c r="B111" s="182" t="s">
        <v>201</v>
      </c>
      <c r="C111" s="364">
        <v>1</v>
      </c>
      <c r="D111" s="187" t="s">
        <v>23</v>
      </c>
      <c r="E111" s="288">
        <v>1000</v>
      </c>
      <c r="F111" s="204">
        <f t="shared" si="28"/>
        <v>1000</v>
      </c>
      <c r="G111" s="188">
        <v>300</v>
      </c>
      <c r="H111" s="204">
        <f t="shared" si="29"/>
        <v>300</v>
      </c>
      <c r="I111" s="204">
        <f t="shared" si="30"/>
        <v>1300</v>
      </c>
      <c r="J111" s="202"/>
    </row>
    <row r="112" spans="1:10" s="191" customFormat="1" x14ac:dyDescent="0.7">
      <c r="A112" s="253" t="s">
        <v>212</v>
      </c>
      <c r="B112" s="182" t="s">
        <v>202</v>
      </c>
      <c r="C112" s="364">
        <v>1</v>
      </c>
      <c r="D112" s="187" t="s">
        <v>42</v>
      </c>
      <c r="E112" s="288">
        <v>3120</v>
      </c>
      <c r="F112" s="204">
        <f t="shared" si="28"/>
        <v>3120</v>
      </c>
      <c r="G112" s="188">
        <v>936</v>
      </c>
      <c r="H112" s="204">
        <f t="shared" si="29"/>
        <v>936</v>
      </c>
      <c r="I112" s="204">
        <f t="shared" si="30"/>
        <v>4056</v>
      </c>
      <c r="J112" s="202"/>
    </row>
    <row r="113" spans="1:10" s="191" customFormat="1" x14ac:dyDescent="0.7">
      <c r="A113" s="247"/>
      <c r="B113" s="252" t="s">
        <v>234</v>
      </c>
      <c r="C113" s="362"/>
      <c r="D113" s="248"/>
      <c r="E113" s="249"/>
      <c r="F113" s="250">
        <f>SUM(F102:F112)</f>
        <v>31239.4</v>
      </c>
      <c r="G113" s="249"/>
      <c r="H113" s="250">
        <f>SUM(H102:H112)</f>
        <v>10323</v>
      </c>
      <c r="I113" s="250">
        <f>SUM(I102:I112)</f>
        <v>41562.400000000001</v>
      </c>
      <c r="J113" s="251"/>
    </row>
    <row r="114" spans="1:10" s="191" customFormat="1" x14ac:dyDescent="0.7">
      <c r="A114" s="246">
        <v>8.4</v>
      </c>
      <c r="B114" s="245" t="s">
        <v>213</v>
      </c>
      <c r="C114" s="360"/>
      <c r="D114" s="241"/>
      <c r="E114" s="242"/>
      <c r="F114" s="243"/>
      <c r="G114" s="242"/>
      <c r="H114" s="243"/>
      <c r="I114" s="243"/>
      <c r="J114" s="202"/>
    </row>
    <row r="115" spans="1:10" s="191" customFormat="1" x14ac:dyDescent="0.7">
      <c r="A115" s="253" t="s">
        <v>214</v>
      </c>
      <c r="B115" s="283" t="s">
        <v>215</v>
      </c>
      <c r="C115" s="364">
        <v>1</v>
      </c>
      <c r="D115" s="187" t="s">
        <v>236</v>
      </c>
      <c r="E115" s="288">
        <v>2509.8000000000002</v>
      </c>
      <c r="F115" s="204">
        <f t="shared" ref="F115:F124" si="31">C115*E115</f>
        <v>2509.8000000000002</v>
      </c>
      <c r="G115" s="188">
        <v>1500</v>
      </c>
      <c r="H115" s="204">
        <f t="shared" ref="H115:H124" si="32">C115*G115</f>
        <v>1500</v>
      </c>
      <c r="I115" s="204">
        <f t="shared" ref="I115:I124" si="33">F115+H115</f>
        <v>4009.8</v>
      </c>
      <c r="J115" s="202"/>
    </row>
    <row r="116" spans="1:10" s="191" customFormat="1" x14ac:dyDescent="0.7">
      <c r="A116" s="253" t="s">
        <v>223</v>
      </c>
      <c r="B116" s="283" t="s">
        <v>216</v>
      </c>
      <c r="C116" s="364">
        <v>1</v>
      </c>
      <c r="D116" s="187" t="s">
        <v>237</v>
      </c>
      <c r="E116" s="288">
        <v>560</v>
      </c>
      <c r="F116" s="204">
        <f t="shared" si="31"/>
        <v>560</v>
      </c>
      <c r="G116" s="188">
        <v>168</v>
      </c>
      <c r="H116" s="204">
        <f t="shared" si="32"/>
        <v>168</v>
      </c>
      <c r="I116" s="204">
        <f t="shared" si="33"/>
        <v>728</v>
      </c>
      <c r="J116" s="202"/>
    </row>
    <row r="117" spans="1:10" s="191" customFormat="1" x14ac:dyDescent="0.7">
      <c r="A117" s="253" t="s">
        <v>224</v>
      </c>
      <c r="B117" s="283" t="s">
        <v>199</v>
      </c>
      <c r="C117" s="364">
        <v>3</v>
      </c>
      <c r="D117" s="187" t="s">
        <v>23</v>
      </c>
      <c r="E117" s="288">
        <v>1000</v>
      </c>
      <c r="F117" s="204">
        <f t="shared" si="31"/>
        <v>3000</v>
      </c>
      <c r="G117" s="188">
        <v>300</v>
      </c>
      <c r="H117" s="204">
        <f t="shared" si="32"/>
        <v>900</v>
      </c>
      <c r="I117" s="204">
        <f t="shared" si="33"/>
        <v>3900</v>
      </c>
      <c r="J117" s="202"/>
    </row>
    <row r="118" spans="1:10" s="191" customFormat="1" x14ac:dyDescent="0.7">
      <c r="A118" s="253" t="s">
        <v>225</v>
      </c>
      <c r="B118" s="283" t="s">
        <v>217</v>
      </c>
      <c r="C118" s="364">
        <v>1</v>
      </c>
      <c r="D118" s="187" t="s">
        <v>237</v>
      </c>
      <c r="E118" s="288">
        <v>4000</v>
      </c>
      <c r="F118" s="204">
        <f t="shared" si="31"/>
        <v>4000</v>
      </c>
      <c r="G118" s="188">
        <v>800</v>
      </c>
      <c r="H118" s="204">
        <f t="shared" si="32"/>
        <v>800</v>
      </c>
      <c r="I118" s="204">
        <f t="shared" si="33"/>
        <v>4800</v>
      </c>
      <c r="J118" s="202"/>
    </row>
    <row r="119" spans="1:10" s="191" customFormat="1" x14ac:dyDescent="0.7">
      <c r="A119" s="253" t="s">
        <v>226</v>
      </c>
      <c r="B119" s="283" t="s">
        <v>218</v>
      </c>
      <c r="C119" s="364">
        <v>1</v>
      </c>
      <c r="D119" s="187" t="s">
        <v>237</v>
      </c>
      <c r="E119" s="288">
        <v>6000</v>
      </c>
      <c r="F119" s="204">
        <f t="shared" si="31"/>
        <v>6000</v>
      </c>
      <c r="G119" s="188">
        <v>800</v>
      </c>
      <c r="H119" s="204">
        <f t="shared" si="32"/>
        <v>800</v>
      </c>
      <c r="I119" s="204">
        <f t="shared" si="33"/>
        <v>6800</v>
      </c>
      <c r="J119" s="202"/>
    </row>
    <row r="120" spans="1:10" s="191" customFormat="1" x14ac:dyDescent="0.7">
      <c r="A120" s="253" t="s">
        <v>227</v>
      </c>
      <c r="B120" s="283" t="s">
        <v>219</v>
      </c>
      <c r="C120" s="364">
        <v>2</v>
      </c>
      <c r="D120" s="187" t="s">
        <v>237</v>
      </c>
      <c r="E120" s="288">
        <v>600</v>
      </c>
      <c r="F120" s="204">
        <f t="shared" si="31"/>
        <v>1200</v>
      </c>
      <c r="G120" s="188">
        <v>180</v>
      </c>
      <c r="H120" s="204">
        <f t="shared" si="32"/>
        <v>360</v>
      </c>
      <c r="I120" s="204">
        <f t="shared" si="33"/>
        <v>1560</v>
      </c>
      <c r="J120" s="202"/>
    </row>
    <row r="121" spans="1:10" s="191" customFormat="1" x14ac:dyDescent="0.7">
      <c r="A121" s="253" t="s">
        <v>228</v>
      </c>
      <c r="B121" s="283" t="s">
        <v>220</v>
      </c>
      <c r="C121" s="364">
        <v>1</v>
      </c>
      <c r="D121" s="187" t="s">
        <v>23</v>
      </c>
      <c r="E121" s="288">
        <v>3000</v>
      </c>
      <c r="F121" s="204">
        <f t="shared" si="31"/>
        <v>3000</v>
      </c>
      <c r="G121" s="188">
        <v>800</v>
      </c>
      <c r="H121" s="204">
        <f t="shared" si="32"/>
        <v>800</v>
      </c>
      <c r="I121" s="204">
        <f t="shared" si="33"/>
        <v>3800</v>
      </c>
      <c r="J121" s="202"/>
    </row>
    <row r="122" spans="1:10" s="191" customFormat="1" x14ac:dyDescent="0.7">
      <c r="A122" s="253" t="s">
        <v>229</v>
      </c>
      <c r="B122" s="283" t="s">
        <v>221</v>
      </c>
      <c r="C122" s="364">
        <v>1</v>
      </c>
      <c r="D122" s="187" t="s">
        <v>237</v>
      </c>
      <c r="E122" s="288">
        <v>2100</v>
      </c>
      <c r="F122" s="204">
        <f t="shared" si="31"/>
        <v>2100</v>
      </c>
      <c r="G122" s="188">
        <v>800</v>
      </c>
      <c r="H122" s="204">
        <f t="shared" si="32"/>
        <v>800</v>
      </c>
      <c r="I122" s="204">
        <f t="shared" si="33"/>
        <v>2900</v>
      </c>
      <c r="J122" s="202"/>
    </row>
    <row r="123" spans="1:10" s="191" customFormat="1" x14ac:dyDescent="0.7">
      <c r="A123" s="253" t="s">
        <v>230</v>
      </c>
      <c r="B123" s="283" t="s">
        <v>222</v>
      </c>
      <c r="C123" s="364">
        <v>1</v>
      </c>
      <c r="D123" s="187" t="s">
        <v>23</v>
      </c>
      <c r="E123" s="288">
        <v>1400</v>
      </c>
      <c r="F123" s="204">
        <f t="shared" si="31"/>
        <v>1400</v>
      </c>
      <c r="G123" s="188">
        <v>420</v>
      </c>
      <c r="H123" s="204">
        <f t="shared" si="32"/>
        <v>420</v>
      </c>
      <c r="I123" s="204">
        <f t="shared" si="33"/>
        <v>1820</v>
      </c>
      <c r="J123" s="202"/>
    </row>
    <row r="124" spans="1:10" s="191" customFormat="1" x14ac:dyDescent="0.7">
      <c r="A124" s="253" t="s">
        <v>231</v>
      </c>
      <c r="B124" s="283" t="s">
        <v>202</v>
      </c>
      <c r="C124" s="364">
        <v>1</v>
      </c>
      <c r="D124" s="187" t="s">
        <v>23</v>
      </c>
      <c r="E124" s="288">
        <v>1040</v>
      </c>
      <c r="F124" s="204">
        <f t="shared" si="31"/>
        <v>1040</v>
      </c>
      <c r="G124" s="188">
        <v>312</v>
      </c>
      <c r="H124" s="204">
        <f t="shared" si="32"/>
        <v>312</v>
      </c>
      <c r="I124" s="204">
        <f t="shared" si="33"/>
        <v>1352</v>
      </c>
      <c r="J124" s="202"/>
    </row>
    <row r="125" spans="1:10" s="191" customFormat="1" x14ac:dyDescent="0.7">
      <c r="A125" s="247"/>
      <c r="B125" s="252" t="s">
        <v>235</v>
      </c>
      <c r="C125" s="362"/>
      <c r="D125" s="248"/>
      <c r="E125" s="249"/>
      <c r="F125" s="250">
        <f>SUM(F115:F124)</f>
        <v>24809.8</v>
      </c>
      <c r="G125" s="249"/>
      <c r="H125" s="250">
        <f>SUM(H115:H124)</f>
        <v>6860</v>
      </c>
      <c r="I125" s="250">
        <f>SUM(I115:I124)</f>
        <v>31669.8</v>
      </c>
      <c r="J125" s="251"/>
    </row>
    <row r="126" spans="1:10" s="191" customFormat="1" x14ac:dyDescent="0.7">
      <c r="A126" s="201">
        <v>8.9</v>
      </c>
      <c r="B126" s="224" t="s">
        <v>365</v>
      </c>
      <c r="C126" s="140"/>
      <c r="D126" s="187"/>
      <c r="E126" s="203"/>
      <c r="F126" s="204"/>
      <c r="G126" s="203"/>
      <c r="H126" s="204"/>
      <c r="I126" s="204"/>
      <c r="J126" s="202"/>
    </row>
    <row r="127" spans="1:10" s="191" customFormat="1" x14ac:dyDescent="0.7">
      <c r="A127" s="201"/>
      <c r="B127" s="224" t="s">
        <v>364</v>
      </c>
      <c r="C127" s="140"/>
      <c r="D127" s="187"/>
      <c r="E127" s="203"/>
      <c r="F127" s="204"/>
      <c r="G127" s="203"/>
      <c r="H127" s="204"/>
      <c r="I127" s="204"/>
      <c r="J127" s="202"/>
    </row>
    <row r="128" spans="1:10" s="191" customFormat="1" x14ac:dyDescent="0.7">
      <c r="A128" s="266" t="s">
        <v>242</v>
      </c>
      <c r="B128" s="182" t="s">
        <v>248</v>
      </c>
      <c r="C128" s="140">
        <v>1</v>
      </c>
      <c r="D128" s="138" t="s">
        <v>23</v>
      </c>
      <c r="E128" s="294">
        <v>2760</v>
      </c>
      <c r="F128" s="198">
        <f t="shared" ref="F128:F145" si="34">C128*E128</f>
        <v>2760</v>
      </c>
      <c r="G128" s="197">
        <v>2000</v>
      </c>
      <c r="H128" s="198">
        <f t="shared" ref="H128:H145" si="35">C128*G128</f>
        <v>2000</v>
      </c>
      <c r="I128" s="198">
        <f t="shared" ref="I128:I145" si="36">SUM(F128,H128)</f>
        <v>4760</v>
      </c>
      <c r="J128" s="202"/>
    </row>
    <row r="129" spans="1:10" s="191" customFormat="1" x14ac:dyDescent="0.7">
      <c r="A129" s="266" t="s">
        <v>243</v>
      </c>
      <c r="B129" s="182" t="s">
        <v>249</v>
      </c>
      <c r="C129" s="222">
        <v>3</v>
      </c>
      <c r="D129" s="138" t="s">
        <v>23</v>
      </c>
      <c r="E129" s="294">
        <v>5800</v>
      </c>
      <c r="F129" s="198">
        <f t="shared" si="34"/>
        <v>17400</v>
      </c>
      <c r="G129" s="197">
        <v>1000</v>
      </c>
      <c r="H129" s="198">
        <f t="shared" si="35"/>
        <v>3000</v>
      </c>
      <c r="I129" s="198">
        <f t="shared" si="36"/>
        <v>20400</v>
      </c>
      <c r="J129" s="202"/>
    </row>
    <row r="130" spans="1:10" s="191" customFormat="1" x14ac:dyDescent="0.7">
      <c r="A130" s="266" t="s">
        <v>244</v>
      </c>
      <c r="B130" s="182" t="s">
        <v>250</v>
      </c>
      <c r="C130" s="140">
        <v>1</v>
      </c>
      <c r="D130" s="138" t="s">
        <v>55</v>
      </c>
      <c r="E130" s="294">
        <v>2000</v>
      </c>
      <c r="F130" s="198">
        <f t="shared" si="34"/>
        <v>2000</v>
      </c>
      <c r="G130" s="197">
        <v>700</v>
      </c>
      <c r="H130" s="198">
        <f t="shared" si="35"/>
        <v>700</v>
      </c>
      <c r="I130" s="198">
        <f t="shared" si="36"/>
        <v>2700</v>
      </c>
      <c r="J130" s="202"/>
    </row>
    <row r="131" spans="1:10" s="191" customFormat="1" x14ac:dyDescent="0.7">
      <c r="A131" s="266" t="s">
        <v>245</v>
      </c>
      <c r="B131" s="182" t="s">
        <v>251</v>
      </c>
      <c r="C131" s="140">
        <v>1</v>
      </c>
      <c r="D131" s="138" t="s">
        <v>55</v>
      </c>
      <c r="E131" s="294">
        <v>2500</v>
      </c>
      <c r="F131" s="198">
        <f t="shared" si="34"/>
        <v>2500</v>
      </c>
      <c r="G131" s="197">
        <v>700</v>
      </c>
      <c r="H131" s="198">
        <f t="shared" si="35"/>
        <v>700</v>
      </c>
      <c r="I131" s="198">
        <f t="shared" si="36"/>
        <v>3200</v>
      </c>
      <c r="J131" s="202"/>
    </row>
    <row r="132" spans="1:10" s="191" customFormat="1" x14ac:dyDescent="0.7">
      <c r="A132" s="266" t="s">
        <v>246</v>
      </c>
      <c r="B132" s="182" t="s">
        <v>252</v>
      </c>
      <c r="C132" s="140">
        <v>1</v>
      </c>
      <c r="D132" s="138" t="s">
        <v>23</v>
      </c>
      <c r="E132" s="294">
        <v>5000</v>
      </c>
      <c r="F132" s="198">
        <f t="shared" si="34"/>
        <v>5000</v>
      </c>
      <c r="G132" s="197">
        <v>1000</v>
      </c>
      <c r="H132" s="198">
        <f t="shared" si="35"/>
        <v>1000</v>
      </c>
      <c r="I132" s="198">
        <f t="shared" si="36"/>
        <v>6000</v>
      </c>
      <c r="J132" s="202"/>
    </row>
    <row r="133" spans="1:10" s="191" customFormat="1" x14ac:dyDescent="0.7">
      <c r="A133" s="266" t="s">
        <v>247</v>
      </c>
      <c r="B133" s="182" t="s">
        <v>253</v>
      </c>
      <c r="C133" s="140">
        <v>50</v>
      </c>
      <c r="D133" s="138" t="s">
        <v>41</v>
      </c>
      <c r="E133" s="294">
        <v>109.7</v>
      </c>
      <c r="F133" s="198">
        <f t="shared" si="34"/>
        <v>5485</v>
      </c>
      <c r="G133" s="197">
        <v>20</v>
      </c>
      <c r="H133" s="198">
        <f t="shared" si="35"/>
        <v>1000</v>
      </c>
      <c r="I133" s="198">
        <f t="shared" si="36"/>
        <v>6485</v>
      </c>
      <c r="J133" s="202"/>
    </row>
    <row r="134" spans="1:10" s="191" customFormat="1" x14ac:dyDescent="0.7">
      <c r="A134" s="266" t="s">
        <v>312</v>
      </c>
      <c r="B134" s="182" t="s">
        <v>311</v>
      </c>
      <c r="C134" s="140">
        <v>1</v>
      </c>
      <c r="D134" s="138" t="s">
        <v>23</v>
      </c>
      <c r="E134" s="294">
        <v>8500</v>
      </c>
      <c r="F134" s="198">
        <f t="shared" si="34"/>
        <v>8500</v>
      </c>
      <c r="G134" s="197"/>
      <c r="H134" s="198">
        <f t="shared" si="35"/>
        <v>0</v>
      </c>
      <c r="I134" s="198">
        <f t="shared" si="36"/>
        <v>8500</v>
      </c>
      <c r="J134" s="202"/>
    </row>
    <row r="135" spans="1:10" s="191" customFormat="1" x14ac:dyDescent="0.7">
      <c r="A135" s="254"/>
      <c r="B135" s="259" t="s">
        <v>238</v>
      </c>
      <c r="C135" s="255"/>
      <c r="D135" s="256"/>
      <c r="E135" s="257"/>
      <c r="F135" s="250">
        <f>SUM(F128:F134)</f>
        <v>43645</v>
      </c>
      <c r="G135" s="257"/>
      <c r="H135" s="250">
        <f>SUM(H128:H134)</f>
        <v>8400</v>
      </c>
      <c r="I135" s="250">
        <f>SUM(I128:I134)</f>
        <v>52045</v>
      </c>
      <c r="J135" s="251"/>
    </row>
    <row r="136" spans="1:10" s="191" customFormat="1" x14ac:dyDescent="0.7">
      <c r="A136" s="267">
        <v>8.1</v>
      </c>
      <c r="B136" s="224" t="s">
        <v>337</v>
      </c>
      <c r="C136" s="140"/>
      <c r="D136" s="138"/>
      <c r="E136" s="197"/>
      <c r="F136" s="198"/>
      <c r="G136" s="197"/>
      <c r="H136" s="198"/>
      <c r="I136" s="198"/>
      <c r="J136" s="202"/>
    </row>
    <row r="137" spans="1:10" s="191" customFormat="1" x14ac:dyDescent="0.7">
      <c r="A137" s="266" t="s">
        <v>254</v>
      </c>
      <c r="B137" s="182" t="s">
        <v>339</v>
      </c>
      <c r="C137" s="140">
        <v>2</v>
      </c>
      <c r="D137" s="138" t="s">
        <v>23</v>
      </c>
      <c r="E137" s="294">
        <v>150000</v>
      </c>
      <c r="F137" s="198">
        <f t="shared" si="34"/>
        <v>300000</v>
      </c>
      <c r="G137" s="197"/>
      <c r="H137" s="198"/>
      <c r="I137" s="198">
        <v>0</v>
      </c>
      <c r="J137" s="202"/>
    </row>
    <row r="138" spans="1:10" s="191" customFormat="1" x14ac:dyDescent="0.7">
      <c r="A138" s="266" t="s">
        <v>255</v>
      </c>
      <c r="B138" s="182" t="s">
        <v>258</v>
      </c>
      <c r="C138" s="222">
        <v>207</v>
      </c>
      <c r="D138" s="138" t="s">
        <v>24</v>
      </c>
      <c r="E138" s="294"/>
      <c r="F138" s="332">
        <f t="shared" si="34"/>
        <v>0</v>
      </c>
      <c r="G138" s="294">
        <v>18</v>
      </c>
      <c r="H138" s="198">
        <f t="shared" si="35"/>
        <v>3726</v>
      </c>
      <c r="I138" s="198">
        <f t="shared" si="36"/>
        <v>3726</v>
      </c>
      <c r="J138" s="202"/>
    </row>
    <row r="139" spans="1:10" s="191" customFormat="1" x14ac:dyDescent="0.7">
      <c r="A139" s="266" t="s">
        <v>256</v>
      </c>
      <c r="B139" s="182" t="s">
        <v>340</v>
      </c>
      <c r="C139" s="222">
        <f>+(7.7*7*1.25)-30</f>
        <v>37.375</v>
      </c>
      <c r="D139" s="138" t="s">
        <v>24</v>
      </c>
      <c r="E139" s="294">
        <v>410</v>
      </c>
      <c r="F139" s="332">
        <f t="shared" si="34"/>
        <v>15323.75</v>
      </c>
      <c r="G139" s="294">
        <v>99</v>
      </c>
      <c r="H139" s="198">
        <f t="shared" si="35"/>
        <v>3700.125</v>
      </c>
      <c r="I139" s="198">
        <f t="shared" si="36"/>
        <v>19023.875</v>
      </c>
      <c r="J139" s="202"/>
    </row>
    <row r="140" spans="1:10" s="191" customFormat="1" x14ac:dyDescent="0.7">
      <c r="A140" s="266" t="s">
        <v>345</v>
      </c>
      <c r="B140" s="182" t="s">
        <v>334</v>
      </c>
      <c r="C140" s="140">
        <f>7.7*7*0.05*1.25</f>
        <v>3.3687500000000004</v>
      </c>
      <c r="D140" s="138" t="s">
        <v>24</v>
      </c>
      <c r="E140" s="294">
        <v>495</v>
      </c>
      <c r="F140" s="332">
        <f t="shared" si="34"/>
        <v>1667.5312500000002</v>
      </c>
      <c r="G140" s="294">
        <v>104</v>
      </c>
      <c r="H140" s="198">
        <f t="shared" si="35"/>
        <v>350.35</v>
      </c>
      <c r="I140" s="198">
        <f t="shared" si="36"/>
        <v>2017.8812500000004</v>
      </c>
      <c r="J140" s="202"/>
    </row>
    <row r="141" spans="1:10" s="191" customFormat="1" x14ac:dyDescent="0.7">
      <c r="A141" s="266" t="s">
        <v>346</v>
      </c>
      <c r="B141" s="182" t="s">
        <v>259</v>
      </c>
      <c r="C141" s="140">
        <f>7.7*7*0.2</f>
        <v>10.780000000000001</v>
      </c>
      <c r="D141" s="138" t="s">
        <v>24</v>
      </c>
      <c r="E141" s="294">
        <v>2151.87</v>
      </c>
      <c r="F141" s="198">
        <f t="shared" si="34"/>
        <v>23197.158600000002</v>
      </c>
      <c r="G141" s="294">
        <v>419</v>
      </c>
      <c r="H141" s="198">
        <f t="shared" si="35"/>
        <v>4516.8200000000006</v>
      </c>
      <c r="I141" s="198">
        <f t="shared" si="36"/>
        <v>27713.978600000002</v>
      </c>
      <c r="J141" s="202"/>
    </row>
    <row r="142" spans="1:10" s="191" customFormat="1" x14ac:dyDescent="0.7">
      <c r="A142" s="266" t="s">
        <v>347</v>
      </c>
      <c r="B142" s="182" t="s">
        <v>260</v>
      </c>
      <c r="C142" s="222">
        <f>77*7*0.888*1.09*2</f>
        <v>1043.41776</v>
      </c>
      <c r="D142" s="138" t="s">
        <v>35</v>
      </c>
      <c r="E142" s="294">
        <v>22.1</v>
      </c>
      <c r="F142" s="295">
        <f t="shared" si="34"/>
        <v>23059.532496000003</v>
      </c>
      <c r="G142" s="294">
        <v>3.6</v>
      </c>
      <c r="H142" s="295">
        <f t="shared" si="35"/>
        <v>3756.3039360000002</v>
      </c>
      <c r="I142" s="295">
        <f t="shared" si="36"/>
        <v>26815.836432000004</v>
      </c>
      <c r="J142" s="202"/>
    </row>
    <row r="143" spans="1:10" s="191" customFormat="1" x14ac:dyDescent="0.7">
      <c r="A143" s="266" t="s">
        <v>348</v>
      </c>
      <c r="B143" s="182" t="s">
        <v>261</v>
      </c>
      <c r="C143" s="140">
        <f>30*C142/1000</f>
        <v>31.302532800000002</v>
      </c>
      <c r="D143" s="138" t="s">
        <v>35</v>
      </c>
      <c r="E143" s="298">
        <v>21.58</v>
      </c>
      <c r="F143" s="284">
        <f t="shared" si="34"/>
        <v>675.50865782400001</v>
      </c>
      <c r="G143" s="298">
        <v>3.6</v>
      </c>
      <c r="H143" s="284">
        <f t="shared" si="35"/>
        <v>112.68911808000001</v>
      </c>
      <c r="I143" s="198">
        <f t="shared" si="36"/>
        <v>788.19777590400008</v>
      </c>
      <c r="J143" s="202"/>
    </row>
    <row r="144" spans="1:10" s="191" customFormat="1" x14ac:dyDescent="0.7">
      <c r="A144" s="266" t="s">
        <v>349</v>
      </c>
      <c r="B144" s="182" t="s">
        <v>335</v>
      </c>
      <c r="C144" s="140">
        <f>+(7.7+7.7+14)*0.2</f>
        <v>5.88</v>
      </c>
      <c r="D144" s="138" t="s">
        <v>25</v>
      </c>
      <c r="E144" s="298">
        <v>451.4</v>
      </c>
      <c r="F144" s="284">
        <f t="shared" si="34"/>
        <v>2654.232</v>
      </c>
      <c r="G144" s="298">
        <v>133</v>
      </c>
      <c r="H144" s="284">
        <f t="shared" si="35"/>
        <v>782.04</v>
      </c>
      <c r="I144" s="198">
        <f t="shared" si="36"/>
        <v>3436.2719999999999</v>
      </c>
      <c r="J144" s="202"/>
    </row>
    <row r="145" spans="1:14" s="191" customFormat="1" x14ac:dyDescent="0.7">
      <c r="A145" s="266" t="s">
        <v>350</v>
      </c>
      <c r="B145" s="182" t="s">
        <v>336</v>
      </c>
      <c r="C145" s="140">
        <v>8</v>
      </c>
      <c r="D145" s="138" t="s">
        <v>84</v>
      </c>
      <c r="E145" s="298">
        <v>250</v>
      </c>
      <c r="F145" s="284">
        <f t="shared" si="34"/>
        <v>2000</v>
      </c>
      <c r="G145" s="298"/>
      <c r="H145" s="284">
        <f t="shared" si="35"/>
        <v>0</v>
      </c>
      <c r="I145" s="198">
        <f t="shared" si="36"/>
        <v>2000</v>
      </c>
      <c r="J145" s="202"/>
    </row>
    <row r="146" spans="1:14" s="191" customFormat="1" x14ac:dyDescent="0.7">
      <c r="A146" s="254"/>
      <c r="B146" s="259" t="s">
        <v>239</v>
      </c>
      <c r="C146" s="255"/>
      <c r="D146" s="256"/>
      <c r="E146" s="257"/>
      <c r="F146" s="250">
        <f>SUM(F137:F145)</f>
        <v>368577.71300382406</v>
      </c>
      <c r="G146" s="257"/>
      <c r="H146" s="250">
        <f>SUM(H138:H145)</f>
        <v>16944.328054080001</v>
      </c>
      <c r="I146" s="250">
        <f>SUM(I137:I145)</f>
        <v>85522.041057904004</v>
      </c>
      <c r="J146" s="251"/>
    </row>
    <row r="147" spans="1:14" s="200" customFormat="1" x14ac:dyDescent="0.7">
      <c r="A147" s="274">
        <v>8.11</v>
      </c>
      <c r="B147" s="273" t="s">
        <v>338</v>
      </c>
      <c r="C147" s="149"/>
      <c r="D147" s="138"/>
      <c r="E147" s="197"/>
      <c r="F147" s="205"/>
      <c r="G147" s="197"/>
      <c r="H147" s="205"/>
      <c r="I147" s="205"/>
      <c r="J147" s="199"/>
      <c r="M147" s="206">
        <f>SUM(I126:I144)</f>
        <v>187612.04105790402</v>
      </c>
    </row>
    <row r="148" spans="1:14" s="200" customFormat="1" x14ac:dyDescent="0.7">
      <c r="A148" s="274" t="s">
        <v>257</v>
      </c>
      <c r="B148" s="273" t="s">
        <v>316</v>
      </c>
      <c r="C148" s="149"/>
      <c r="D148" s="138"/>
      <c r="E148" s="197"/>
      <c r="F148" s="205"/>
      <c r="G148" s="197"/>
      <c r="H148" s="205"/>
      <c r="I148" s="205"/>
      <c r="J148" s="199"/>
      <c r="M148" s="206"/>
    </row>
    <row r="149" spans="1:14" s="200" customFormat="1" x14ac:dyDescent="0.7">
      <c r="A149" s="296" t="s">
        <v>351</v>
      </c>
      <c r="B149" s="277" t="s">
        <v>263</v>
      </c>
      <c r="C149" s="284">
        <v>1.6</v>
      </c>
      <c r="D149" s="297" t="s">
        <v>24</v>
      </c>
      <c r="E149" s="298">
        <v>2115</v>
      </c>
      <c r="F149" s="284">
        <f t="shared" ref="F149:F152" si="37">C149*E149</f>
        <v>3384</v>
      </c>
      <c r="G149" s="298">
        <v>350</v>
      </c>
      <c r="H149" s="284">
        <f t="shared" ref="H149:H153" si="38">C149*G149</f>
        <v>560</v>
      </c>
      <c r="I149" s="292">
        <f t="shared" ref="I149" si="39">F149+H149</f>
        <v>3944</v>
      </c>
      <c r="J149" s="199"/>
      <c r="M149" s="206"/>
    </row>
    <row r="150" spans="1:14" s="336" customFormat="1" x14ac:dyDescent="0.7">
      <c r="A150" s="296" t="s">
        <v>352</v>
      </c>
      <c r="B150" s="277" t="s">
        <v>260</v>
      </c>
      <c r="C150" s="284">
        <f>1.2*10*0.888*1.09</f>
        <v>11.615040000000002</v>
      </c>
      <c r="D150" s="297" t="s">
        <v>35</v>
      </c>
      <c r="E150" s="294">
        <v>22.1</v>
      </c>
      <c r="F150" s="295">
        <f t="shared" si="37"/>
        <v>256.69238400000006</v>
      </c>
      <c r="G150" s="294">
        <v>3.6</v>
      </c>
      <c r="H150" s="295">
        <f t="shared" si="38"/>
        <v>41.814144000000006</v>
      </c>
      <c r="I150" s="295">
        <f t="shared" ref="I150:I152" si="40">SUM(F150,H150)</f>
        <v>298.50652800000006</v>
      </c>
      <c r="J150" s="335"/>
      <c r="M150" s="337"/>
    </row>
    <row r="151" spans="1:14" s="200" customFormat="1" x14ac:dyDescent="0.7">
      <c r="A151" s="296" t="s">
        <v>353</v>
      </c>
      <c r="B151" s="277" t="s">
        <v>262</v>
      </c>
      <c r="C151" s="284">
        <f>((0.2*0.8*4*4)+(0.2*0.8*4*6))</f>
        <v>6.4000000000000012</v>
      </c>
      <c r="D151" s="297" t="s">
        <v>25</v>
      </c>
      <c r="E151" s="298">
        <v>451.4</v>
      </c>
      <c r="F151" s="284">
        <f t="shared" si="37"/>
        <v>2888.9600000000005</v>
      </c>
      <c r="G151" s="298">
        <v>133</v>
      </c>
      <c r="H151" s="284">
        <f t="shared" si="38"/>
        <v>851.20000000000016</v>
      </c>
      <c r="I151" s="295">
        <f t="shared" si="40"/>
        <v>3740.1600000000008</v>
      </c>
      <c r="J151" s="199"/>
      <c r="M151" s="206"/>
    </row>
    <row r="152" spans="1:14" s="325" customFormat="1" x14ac:dyDescent="0.7">
      <c r="A152" s="296" t="s">
        <v>372</v>
      </c>
      <c r="B152" s="283" t="s">
        <v>261</v>
      </c>
      <c r="C152" s="225">
        <f>(C150/1000)*30</f>
        <v>0.34845120000000007</v>
      </c>
      <c r="D152" s="289" t="s">
        <v>35</v>
      </c>
      <c r="E152" s="188">
        <v>21.58</v>
      </c>
      <c r="F152" s="186">
        <f t="shared" si="37"/>
        <v>7.5195768960000011</v>
      </c>
      <c r="G152" s="188">
        <v>4.0999999999999996</v>
      </c>
      <c r="H152" s="186">
        <f t="shared" si="38"/>
        <v>1.4286499200000002</v>
      </c>
      <c r="I152" s="186">
        <f t="shared" si="40"/>
        <v>8.9482268160000018</v>
      </c>
      <c r="J152" s="202"/>
      <c r="M152" s="326">
        <f>C150+C155+C156+C162+C163+C169+C176+C177+C183</f>
        <v>1507.1449464000002</v>
      </c>
      <c r="N152" s="326">
        <f>M152/1000</f>
        <v>1.5071449464000002</v>
      </c>
    </row>
    <row r="153" spans="1:14" s="325" customFormat="1" x14ac:dyDescent="0.7">
      <c r="A153" s="296" t="s">
        <v>373</v>
      </c>
      <c r="B153" s="283" t="s">
        <v>300</v>
      </c>
      <c r="C153" s="225">
        <f>C151/0.25</f>
        <v>25.600000000000005</v>
      </c>
      <c r="D153" s="289" t="s">
        <v>35</v>
      </c>
      <c r="E153" s="188">
        <v>46.42</v>
      </c>
      <c r="F153" s="186">
        <f>C153*E153</f>
        <v>1188.3520000000003</v>
      </c>
      <c r="G153" s="188"/>
      <c r="H153" s="186">
        <f t="shared" si="38"/>
        <v>0</v>
      </c>
      <c r="I153" s="186">
        <f>F153+H153</f>
        <v>1188.3520000000003</v>
      </c>
      <c r="J153" s="202"/>
      <c r="M153" s="326"/>
    </row>
    <row r="154" spans="1:14" s="200" customFormat="1" x14ac:dyDescent="0.7">
      <c r="A154" s="274" t="s">
        <v>377</v>
      </c>
      <c r="B154" s="299" t="s">
        <v>317</v>
      </c>
      <c r="C154" s="282"/>
      <c r="D154" s="138"/>
      <c r="E154" s="285"/>
      <c r="F154" s="149"/>
      <c r="G154" s="285"/>
      <c r="H154" s="149"/>
      <c r="I154" s="205"/>
      <c r="J154" s="199"/>
      <c r="M154" s="206"/>
    </row>
    <row r="155" spans="1:14" s="336" customFormat="1" x14ac:dyDescent="0.7">
      <c r="A155" s="334" t="s">
        <v>378</v>
      </c>
      <c r="B155" s="277" t="s">
        <v>313</v>
      </c>
      <c r="C155" s="284">
        <f>((0.2*4)*(3.45/0.15)*4*0.222*1.05)+((0.2*4)*(0.5/0.15)*6*0.222*1.05)</f>
        <v>20.885760000000005</v>
      </c>
      <c r="D155" s="297" t="s">
        <v>35</v>
      </c>
      <c r="E155" s="294">
        <v>22.75</v>
      </c>
      <c r="F155" s="295">
        <f t="shared" ref="F155:F159" si="41">C155*E155</f>
        <v>475.15104000000008</v>
      </c>
      <c r="G155" s="294">
        <v>4.4000000000000004</v>
      </c>
      <c r="H155" s="295">
        <f t="shared" ref="H155:H160" si="42">C155*G155</f>
        <v>91.897344000000032</v>
      </c>
      <c r="I155" s="295">
        <f t="shared" ref="I155:I156" si="43">SUM(F155,H155)</f>
        <v>567.04838400000017</v>
      </c>
      <c r="J155" s="335"/>
      <c r="M155" s="337"/>
    </row>
    <row r="156" spans="1:14" s="200" customFormat="1" x14ac:dyDescent="0.7">
      <c r="A156" s="334" t="s">
        <v>379</v>
      </c>
      <c r="B156" s="277" t="s">
        <v>260</v>
      </c>
      <c r="C156" s="284">
        <f>((3.45+0.2+0.4)*6*4*0.888*1.09)+((0.4+0.2+0.5)*6*6*0.888*1.09)</f>
        <v>132.41145600000004</v>
      </c>
      <c r="D156" s="297" t="s">
        <v>35</v>
      </c>
      <c r="E156" s="294">
        <v>22.1</v>
      </c>
      <c r="F156" s="295">
        <f t="shared" si="41"/>
        <v>2926.2931776000009</v>
      </c>
      <c r="G156" s="294">
        <v>3.6</v>
      </c>
      <c r="H156" s="295">
        <f t="shared" si="42"/>
        <v>476.68124160000019</v>
      </c>
      <c r="I156" s="295">
        <f t="shared" si="43"/>
        <v>3402.9744192000012</v>
      </c>
      <c r="J156" s="207"/>
      <c r="M156" s="206"/>
    </row>
    <row r="157" spans="1:14" s="200" customFormat="1" x14ac:dyDescent="0.7">
      <c r="A157" s="334" t="s">
        <v>380</v>
      </c>
      <c r="B157" s="277" t="s">
        <v>263</v>
      </c>
      <c r="C157" s="284">
        <f>ROUND((3.45*0.2*0.2*4)+(0.5*0.2*0.2*6),0)</f>
        <v>1</v>
      </c>
      <c r="D157" s="297" t="s">
        <v>24</v>
      </c>
      <c r="E157" s="298">
        <v>2115</v>
      </c>
      <c r="F157" s="284">
        <f t="shared" si="41"/>
        <v>2115</v>
      </c>
      <c r="G157" s="298">
        <v>350</v>
      </c>
      <c r="H157" s="284">
        <f t="shared" si="42"/>
        <v>350</v>
      </c>
      <c r="I157" s="292">
        <f t="shared" ref="I157" si="44">F157+H157</f>
        <v>2465</v>
      </c>
      <c r="J157" s="199"/>
      <c r="M157" s="206"/>
    </row>
    <row r="158" spans="1:14" s="200" customFormat="1" x14ac:dyDescent="0.7">
      <c r="A158" s="334" t="s">
        <v>381</v>
      </c>
      <c r="B158" s="277" t="s">
        <v>262</v>
      </c>
      <c r="C158" s="284">
        <f>((0.2*3.45*4*4)+(0.2*0.5*4*6))*0.7</f>
        <v>9.4079999999999995</v>
      </c>
      <c r="D158" s="297" t="s">
        <v>25</v>
      </c>
      <c r="E158" s="298">
        <v>451.4</v>
      </c>
      <c r="F158" s="284">
        <f t="shared" si="41"/>
        <v>4246.7711999999992</v>
      </c>
      <c r="G158" s="298">
        <v>133</v>
      </c>
      <c r="H158" s="284">
        <f t="shared" si="42"/>
        <v>1251.2639999999999</v>
      </c>
      <c r="I158" s="295">
        <f t="shared" ref="I158:I159" si="45">SUM(F158,H158)</f>
        <v>5498.0351999999993</v>
      </c>
      <c r="J158" s="199"/>
      <c r="M158" s="206"/>
    </row>
    <row r="159" spans="1:14" s="325" customFormat="1" x14ac:dyDescent="0.7">
      <c r="A159" s="334" t="s">
        <v>382</v>
      </c>
      <c r="B159" s="283" t="s">
        <v>261</v>
      </c>
      <c r="C159" s="225">
        <f>((C155+C156)/1000*30)</f>
        <v>4.5989164800000015</v>
      </c>
      <c r="D159" s="289" t="s">
        <v>35</v>
      </c>
      <c r="E159" s="188">
        <v>21.58</v>
      </c>
      <c r="F159" s="186">
        <f t="shared" si="41"/>
        <v>99.24461763840003</v>
      </c>
      <c r="G159" s="188">
        <v>4.0999999999999996</v>
      </c>
      <c r="H159" s="186">
        <f t="shared" si="42"/>
        <v>18.855557568000005</v>
      </c>
      <c r="I159" s="186">
        <f t="shared" si="45"/>
        <v>118.10017520640004</v>
      </c>
      <c r="J159" s="202"/>
      <c r="M159" s="326"/>
    </row>
    <row r="160" spans="1:14" s="325" customFormat="1" x14ac:dyDescent="0.7">
      <c r="A160" s="334" t="s">
        <v>383</v>
      </c>
      <c r="B160" s="283" t="s">
        <v>300</v>
      </c>
      <c r="C160" s="225">
        <f>C158/0.25</f>
        <v>37.631999999999998</v>
      </c>
      <c r="D160" s="289" t="s">
        <v>35</v>
      </c>
      <c r="E160" s="188">
        <v>46.42</v>
      </c>
      <c r="F160" s="186">
        <f>C160*E160</f>
        <v>1746.87744</v>
      </c>
      <c r="G160" s="188"/>
      <c r="H160" s="186">
        <f t="shared" si="42"/>
        <v>0</v>
      </c>
      <c r="I160" s="186">
        <f>F160+H160</f>
        <v>1746.87744</v>
      </c>
      <c r="J160" s="202"/>
      <c r="M160" s="326"/>
    </row>
    <row r="161" spans="1:13" s="200" customFormat="1" x14ac:dyDescent="0.7">
      <c r="A161" s="300" t="s">
        <v>384</v>
      </c>
      <c r="B161" s="299" t="s">
        <v>318</v>
      </c>
      <c r="C161" s="284"/>
      <c r="D161" s="297"/>
      <c r="E161" s="298"/>
      <c r="F161" s="284"/>
      <c r="G161" s="298"/>
      <c r="H161" s="284"/>
      <c r="I161" s="295"/>
      <c r="J161" s="199"/>
      <c r="M161" s="206"/>
    </row>
    <row r="162" spans="1:13" s="336" customFormat="1" x14ac:dyDescent="0.7">
      <c r="A162" s="334" t="s">
        <v>385</v>
      </c>
      <c r="B162" s="277" t="s">
        <v>313</v>
      </c>
      <c r="C162" s="284">
        <f>(1.2*(12.56/0.15)*0.222*1.05)+(1.2*(4.55/0.15)*0.222*1.05)+(1.2*(5.96/0.15)*0.222*1.05)</f>
        <v>43.020936000000006</v>
      </c>
      <c r="D162" s="297" t="s">
        <v>35</v>
      </c>
      <c r="E162" s="294">
        <v>22.75</v>
      </c>
      <c r="F162" s="295">
        <f t="shared" ref="F162:F166" si="46">C162*E162</f>
        <v>978.72629400000017</v>
      </c>
      <c r="G162" s="294">
        <v>4.4000000000000004</v>
      </c>
      <c r="H162" s="295">
        <f t="shared" ref="H162:H167" si="47">C162*G162</f>
        <v>189.29211840000005</v>
      </c>
      <c r="I162" s="295">
        <f t="shared" ref="I162:I163" si="48">SUM(F162,H162)</f>
        <v>1168.0184124000002</v>
      </c>
      <c r="J162" s="335"/>
      <c r="M162" s="337"/>
    </row>
    <row r="163" spans="1:13" s="336" customFormat="1" x14ac:dyDescent="0.7">
      <c r="A163" s="334" t="s">
        <v>386</v>
      </c>
      <c r="B163" s="277" t="s">
        <v>315</v>
      </c>
      <c r="C163" s="284">
        <f>((12.56*6*1.58)+(4.55*6*1.58)+(5.96*6*1.58))*1.11</f>
        <v>242.76099600000003</v>
      </c>
      <c r="D163" s="297" t="s">
        <v>35</v>
      </c>
      <c r="E163" s="294">
        <v>21.9</v>
      </c>
      <c r="F163" s="295">
        <f t="shared" si="46"/>
        <v>5316.4658124000007</v>
      </c>
      <c r="G163" s="294">
        <v>3.6</v>
      </c>
      <c r="H163" s="295">
        <f t="shared" si="47"/>
        <v>873.9395856000001</v>
      </c>
      <c r="I163" s="295">
        <f t="shared" si="48"/>
        <v>6190.4053980000008</v>
      </c>
      <c r="J163" s="335"/>
      <c r="M163" s="337"/>
    </row>
    <row r="164" spans="1:13" s="200" customFormat="1" x14ac:dyDescent="0.7">
      <c r="A164" s="334" t="s">
        <v>387</v>
      </c>
      <c r="B164" s="277" t="s">
        <v>263</v>
      </c>
      <c r="C164" s="284">
        <f>ROUNDUP((12.56*0.2*0.4)+(4.55*0.2*0.4)+(5.96*0.2*0.4),0)</f>
        <v>2</v>
      </c>
      <c r="D164" s="297" t="s">
        <v>24</v>
      </c>
      <c r="E164" s="298">
        <v>2115</v>
      </c>
      <c r="F164" s="284">
        <f t="shared" si="46"/>
        <v>4230</v>
      </c>
      <c r="G164" s="298">
        <v>350</v>
      </c>
      <c r="H164" s="284">
        <f t="shared" si="47"/>
        <v>700</v>
      </c>
      <c r="I164" s="292">
        <f t="shared" ref="I164" si="49">F164+H164</f>
        <v>4930</v>
      </c>
      <c r="J164" s="199"/>
      <c r="M164" s="206"/>
    </row>
    <row r="165" spans="1:13" s="200" customFormat="1" x14ac:dyDescent="0.7">
      <c r="A165" s="334" t="s">
        <v>388</v>
      </c>
      <c r="B165" s="277" t="s">
        <v>262</v>
      </c>
      <c r="C165" s="284">
        <f>(12.56+4.55+5.96)*0.4*2*0.7</f>
        <v>12.919199999999998</v>
      </c>
      <c r="D165" s="297" t="s">
        <v>25</v>
      </c>
      <c r="E165" s="298">
        <v>451.4</v>
      </c>
      <c r="F165" s="284">
        <f t="shared" si="46"/>
        <v>5831.7268799999993</v>
      </c>
      <c r="G165" s="298">
        <v>133</v>
      </c>
      <c r="H165" s="284">
        <f t="shared" si="47"/>
        <v>1718.2535999999998</v>
      </c>
      <c r="I165" s="295">
        <f t="shared" ref="I165:I166" si="50">SUM(F165,H165)</f>
        <v>7549.9804799999993</v>
      </c>
      <c r="J165" s="199"/>
      <c r="M165" s="206"/>
    </row>
    <row r="166" spans="1:13" s="325" customFormat="1" x14ac:dyDescent="0.7">
      <c r="A166" s="334" t="s">
        <v>389</v>
      </c>
      <c r="B166" s="283" t="s">
        <v>261</v>
      </c>
      <c r="C166" s="225">
        <f>((C162+C163)/1000*30)</f>
        <v>8.5734579600000007</v>
      </c>
      <c r="D166" s="289" t="s">
        <v>35</v>
      </c>
      <c r="E166" s="188">
        <v>21.58</v>
      </c>
      <c r="F166" s="186">
        <f t="shared" si="46"/>
        <v>185.01522277679999</v>
      </c>
      <c r="G166" s="188">
        <v>4.0999999999999996</v>
      </c>
      <c r="H166" s="186">
        <f t="shared" si="47"/>
        <v>35.151177636</v>
      </c>
      <c r="I166" s="186">
        <f t="shared" si="50"/>
        <v>220.16640041279999</v>
      </c>
      <c r="J166" s="202"/>
      <c r="M166" s="326"/>
    </row>
    <row r="167" spans="1:13" s="325" customFormat="1" x14ac:dyDescent="0.7">
      <c r="A167" s="334" t="s">
        <v>390</v>
      </c>
      <c r="B167" s="283" t="s">
        <v>300</v>
      </c>
      <c r="C167" s="225">
        <f>C165/0.25</f>
        <v>51.676799999999993</v>
      </c>
      <c r="D167" s="289" t="s">
        <v>35</v>
      </c>
      <c r="E167" s="188">
        <v>46.42</v>
      </c>
      <c r="F167" s="186">
        <f>C167*E167</f>
        <v>2398.8370559999998</v>
      </c>
      <c r="G167" s="188"/>
      <c r="H167" s="186">
        <f t="shared" si="47"/>
        <v>0</v>
      </c>
      <c r="I167" s="186">
        <f>F167+H167</f>
        <v>2398.8370559999998</v>
      </c>
      <c r="J167" s="202"/>
      <c r="M167" s="326"/>
    </row>
    <row r="168" spans="1:13" s="325" customFormat="1" x14ac:dyDescent="0.7">
      <c r="A168" s="327" t="s">
        <v>391</v>
      </c>
      <c r="B168" s="328" t="s">
        <v>319</v>
      </c>
      <c r="C168" s="225"/>
      <c r="D168" s="289"/>
      <c r="E168" s="288"/>
      <c r="F168" s="225"/>
      <c r="G168" s="288"/>
      <c r="H168" s="225"/>
      <c r="I168" s="290"/>
      <c r="J168" s="202"/>
      <c r="M168" s="326"/>
    </row>
    <row r="169" spans="1:13" s="340" customFormat="1" x14ac:dyDescent="0.7">
      <c r="A169" s="338" t="s">
        <v>392</v>
      </c>
      <c r="B169" s="283" t="s">
        <v>260</v>
      </c>
      <c r="C169" s="225">
        <f>((58.25*2)+5.6)*4*0.888*1.09</f>
        <v>472.73212799999999</v>
      </c>
      <c r="D169" s="289" t="s">
        <v>35</v>
      </c>
      <c r="E169" s="294">
        <v>22.1</v>
      </c>
      <c r="F169" s="295">
        <f t="shared" ref="F169:F173" si="51">C169*E169</f>
        <v>10447.3800288</v>
      </c>
      <c r="G169" s="294">
        <v>3.6</v>
      </c>
      <c r="H169" s="295">
        <f t="shared" ref="H169:H174" si="52">C169*G169</f>
        <v>1701.8356607999999</v>
      </c>
      <c r="I169" s="295">
        <f t="shared" ref="I169" si="53">SUM(F169,H169)</f>
        <v>12149.2156896</v>
      </c>
      <c r="J169" s="339"/>
      <c r="M169" s="341"/>
    </row>
    <row r="170" spans="1:13" s="325" customFormat="1" x14ac:dyDescent="0.7">
      <c r="A170" s="338" t="s">
        <v>393</v>
      </c>
      <c r="B170" s="283" t="s">
        <v>263</v>
      </c>
      <c r="C170" s="225">
        <f>ROUNDUP((3.14*2.8*2.8*0.15),0)</f>
        <v>4</v>
      </c>
      <c r="D170" s="289" t="s">
        <v>24</v>
      </c>
      <c r="E170" s="288">
        <v>2115</v>
      </c>
      <c r="F170" s="225">
        <f t="shared" si="51"/>
        <v>8460</v>
      </c>
      <c r="G170" s="288">
        <v>350</v>
      </c>
      <c r="H170" s="225">
        <f t="shared" si="52"/>
        <v>1400</v>
      </c>
      <c r="I170" s="292">
        <f t="shared" ref="I170" si="54">F170+H170</f>
        <v>9860</v>
      </c>
      <c r="J170" s="202"/>
      <c r="M170" s="326"/>
    </row>
    <row r="171" spans="1:13" s="325" customFormat="1" x14ac:dyDescent="0.7">
      <c r="A171" s="338" t="s">
        <v>394</v>
      </c>
      <c r="B171" s="283" t="s">
        <v>262</v>
      </c>
      <c r="C171" s="225">
        <f>17.6*0.15*0.7</f>
        <v>1.8479999999999999</v>
      </c>
      <c r="D171" s="289" t="s">
        <v>25</v>
      </c>
      <c r="E171" s="288">
        <v>451.4</v>
      </c>
      <c r="F171" s="225">
        <f t="shared" si="51"/>
        <v>834.18719999999985</v>
      </c>
      <c r="G171" s="288">
        <v>133</v>
      </c>
      <c r="H171" s="225">
        <f t="shared" si="52"/>
        <v>245.78399999999999</v>
      </c>
      <c r="I171" s="290">
        <f t="shared" ref="I171:I173" si="55">SUM(F171,H171)</f>
        <v>1079.9712</v>
      </c>
      <c r="J171" s="202"/>
      <c r="M171" s="326"/>
    </row>
    <row r="172" spans="1:13" s="325" customFormat="1" x14ac:dyDescent="0.7">
      <c r="A172" s="338" t="s">
        <v>395</v>
      </c>
      <c r="B172" s="283" t="s">
        <v>430</v>
      </c>
      <c r="C172" s="225">
        <f>2.8*1.25</f>
        <v>3.5</v>
      </c>
      <c r="D172" s="289" t="s">
        <v>24</v>
      </c>
      <c r="E172" s="288">
        <v>500</v>
      </c>
      <c r="F172" s="225">
        <f t="shared" si="51"/>
        <v>1750</v>
      </c>
      <c r="G172" s="288">
        <v>50</v>
      </c>
      <c r="H172" s="225">
        <f t="shared" si="52"/>
        <v>175</v>
      </c>
      <c r="I172" s="290">
        <f t="shared" si="55"/>
        <v>1925</v>
      </c>
      <c r="J172" s="202"/>
      <c r="M172" s="326"/>
    </row>
    <row r="173" spans="1:13" s="325" customFormat="1" x14ac:dyDescent="0.7">
      <c r="A173" s="338" t="s">
        <v>396</v>
      </c>
      <c r="B173" s="283" t="s">
        <v>261</v>
      </c>
      <c r="C173" s="225">
        <f>C169/1000*30</f>
        <v>14.18196384</v>
      </c>
      <c r="D173" s="289" t="s">
        <v>35</v>
      </c>
      <c r="E173" s="188">
        <v>21.58</v>
      </c>
      <c r="F173" s="186">
        <f t="shared" si="51"/>
        <v>306.04677966719998</v>
      </c>
      <c r="G173" s="188">
        <v>4.0999999999999996</v>
      </c>
      <c r="H173" s="186">
        <f t="shared" si="52"/>
        <v>58.146051743999998</v>
      </c>
      <c r="I173" s="186">
        <f t="shared" si="55"/>
        <v>364.19283141119996</v>
      </c>
      <c r="J173" s="202"/>
      <c r="M173" s="326"/>
    </row>
    <row r="174" spans="1:13" s="325" customFormat="1" x14ac:dyDescent="0.7">
      <c r="A174" s="338" t="s">
        <v>429</v>
      </c>
      <c r="B174" s="283" t="s">
        <v>300</v>
      </c>
      <c r="C174" s="225">
        <f>C171/0.25</f>
        <v>7.3919999999999995</v>
      </c>
      <c r="D174" s="289" t="s">
        <v>35</v>
      </c>
      <c r="E174" s="188">
        <v>46.42</v>
      </c>
      <c r="F174" s="186">
        <f>C174*E174</f>
        <v>343.13664</v>
      </c>
      <c r="G174" s="188"/>
      <c r="H174" s="186">
        <f t="shared" si="52"/>
        <v>0</v>
      </c>
      <c r="I174" s="186">
        <f>F174+H174</f>
        <v>343.13664</v>
      </c>
      <c r="J174" s="202"/>
      <c r="M174" s="326"/>
    </row>
    <row r="175" spans="1:13" s="200" customFormat="1" x14ac:dyDescent="0.7">
      <c r="A175" s="300" t="s">
        <v>397</v>
      </c>
      <c r="B175" s="299" t="s">
        <v>320</v>
      </c>
      <c r="C175" s="284"/>
      <c r="D175" s="297"/>
      <c r="E175" s="298"/>
      <c r="F175" s="284"/>
      <c r="G175" s="298"/>
      <c r="H175" s="284"/>
      <c r="I175" s="295"/>
      <c r="J175" s="199"/>
      <c r="M175" s="206"/>
    </row>
    <row r="176" spans="1:13" s="200" customFormat="1" x14ac:dyDescent="0.7">
      <c r="A176" s="334" t="s">
        <v>398</v>
      </c>
      <c r="B176" s="277" t="s">
        <v>313</v>
      </c>
      <c r="C176" s="284">
        <f>1.2*(12.56/0.15)*0.222*1.05</f>
        <v>23.421888000000003</v>
      </c>
      <c r="D176" s="297" t="s">
        <v>35</v>
      </c>
      <c r="E176" s="294">
        <v>22.75</v>
      </c>
      <c r="F176" s="295">
        <f t="shared" ref="F176:F180" si="56">C176*E176</f>
        <v>532.84795200000008</v>
      </c>
      <c r="G176" s="294">
        <v>4.4000000000000004</v>
      </c>
      <c r="H176" s="295">
        <f t="shared" ref="H176:H181" si="57">C176*G176</f>
        <v>103.05630720000002</v>
      </c>
      <c r="I176" s="295">
        <f t="shared" ref="I176:I177" si="58">SUM(F176,H176)</f>
        <v>635.90425920000007</v>
      </c>
      <c r="J176" s="207"/>
      <c r="M176" s="206"/>
    </row>
    <row r="177" spans="1:13" s="200" customFormat="1" x14ac:dyDescent="0.7">
      <c r="A177" s="334" t="s">
        <v>399</v>
      </c>
      <c r="B177" s="277" t="s">
        <v>315</v>
      </c>
      <c r="C177" s="284">
        <f>(12.56*6*1.58)*1.11</f>
        <v>132.16636800000003</v>
      </c>
      <c r="D177" s="297" t="s">
        <v>35</v>
      </c>
      <c r="E177" s="294">
        <v>21.9</v>
      </c>
      <c r="F177" s="295">
        <f t="shared" si="56"/>
        <v>2894.4434592000007</v>
      </c>
      <c r="G177" s="294">
        <v>3.6</v>
      </c>
      <c r="H177" s="295">
        <f t="shared" si="57"/>
        <v>475.79892480000012</v>
      </c>
      <c r="I177" s="295">
        <f t="shared" si="58"/>
        <v>3370.242384000001</v>
      </c>
      <c r="J177" s="207"/>
      <c r="M177" s="206"/>
    </row>
    <row r="178" spans="1:13" s="200" customFormat="1" x14ac:dyDescent="0.7">
      <c r="A178" s="334" t="s">
        <v>400</v>
      </c>
      <c r="B178" s="277" t="s">
        <v>263</v>
      </c>
      <c r="C178" s="284">
        <f>12.56*0.4*0.2</f>
        <v>1.0048000000000001</v>
      </c>
      <c r="D178" s="297" t="s">
        <v>24</v>
      </c>
      <c r="E178" s="298">
        <v>2115</v>
      </c>
      <c r="F178" s="284">
        <f t="shared" si="56"/>
        <v>2125.1520000000005</v>
      </c>
      <c r="G178" s="298">
        <v>350</v>
      </c>
      <c r="H178" s="284">
        <f t="shared" si="57"/>
        <v>351.68000000000006</v>
      </c>
      <c r="I178" s="292">
        <f t="shared" ref="I178" si="59">F178+H178</f>
        <v>2476.8320000000003</v>
      </c>
      <c r="J178" s="199"/>
      <c r="M178" s="206"/>
    </row>
    <row r="179" spans="1:13" s="200" customFormat="1" x14ac:dyDescent="0.7">
      <c r="A179" s="334" t="s">
        <v>401</v>
      </c>
      <c r="B179" s="277" t="s">
        <v>262</v>
      </c>
      <c r="C179" s="284">
        <f>12.56*(0.4+0.2+0.4)*0.7</f>
        <v>8.7919999999999998</v>
      </c>
      <c r="D179" s="297" t="s">
        <v>25</v>
      </c>
      <c r="E179" s="298">
        <v>451.4</v>
      </c>
      <c r="F179" s="284">
        <f t="shared" si="56"/>
        <v>3968.7087999999999</v>
      </c>
      <c r="G179" s="298">
        <v>133</v>
      </c>
      <c r="H179" s="284">
        <f t="shared" si="57"/>
        <v>1169.336</v>
      </c>
      <c r="I179" s="295">
        <f t="shared" ref="I179:I180" si="60">SUM(F179,H179)</f>
        <v>5138.0447999999997</v>
      </c>
      <c r="J179" s="199"/>
      <c r="M179" s="206"/>
    </row>
    <row r="180" spans="1:13" s="325" customFormat="1" x14ac:dyDescent="0.7">
      <c r="A180" s="334" t="s">
        <v>402</v>
      </c>
      <c r="B180" s="283" t="s">
        <v>261</v>
      </c>
      <c r="C180" s="225">
        <f>(C176+C177)/1000*30</f>
        <v>4.6676476800000009</v>
      </c>
      <c r="D180" s="289" t="s">
        <v>35</v>
      </c>
      <c r="E180" s="188">
        <v>21.58</v>
      </c>
      <c r="F180" s="186">
        <f t="shared" si="56"/>
        <v>100.72783693440002</v>
      </c>
      <c r="G180" s="188">
        <v>4.0999999999999996</v>
      </c>
      <c r="H180" s="186">
        <f t="shared" si="57"/>
        <v>19.137355488000001</v>
      </c>
      <c r="I180" s="186">
        <f t="shared" si="60"/>
        <v>119.86519242240001</v>
      </c>
      <c r="J180" s="202"/>
      <c r="M180" s="326"/>
    </row>
    <row r="181" spans="1:13" s="325" customFormat="1" x14ac:dyDescent="0.7">
      <c r="A181" s="334" t="s">
        <v>403</v>
      </c>
      <c r="B181" s="283" t="s">
        <v>300</v>
      </c>
      <c r="C181" s="225">
        <f>C179/0.25</f>
        <v>35.167999999999999</v>
      </c>
      <c r="D181" s="289" t="s">
        <v>35</v>
      </c>
      <c r="E181" s="188">
        <v>46.42</v>
      </c>
      <c r="F181" s="186">
        <f>C181*E181</f>
        <v>1632.49856</v>
      </c>
      <c r="G181" s="188"/>
      <c r="H181" s="186">
        <f t="shared" si="57"/>
        <v>0</v>
      </c>
      <c r="I181" s="186">
        <f>F181+H181</f>
        <v>1632.49856</v>
      </c>
      <c r="J181" s="202"/>
      <c r="M181" s="326"/>
    </row>
    <row r="182" spans="1:13" s="200" customFormat="1" x14ac:dyDescent="0.7">
      <c r="A182" s="300" t="s">
        <v>404</v>
      </c>
      <c r="B182" s="299" t="s">
        <v>321</v>
      </c>
      <c r="C182" s="284"/>
      <c r="D182" s="297"/>
      <c r="E182" s="298"/>
      <c r="F182" s="284"/>
      <c r="G182" s="298"/>
      <c r="H182" s="284"/>
      <c r="I182" s="295"/>
      <c r="J182" s="199"/>
      <c r="M182" s="206"/>
    </row>
    <row r="183" spans="1:13" s="325" customFormat="1" x14ac:dyDescent="0.7">
      <c r="A183" s="338" t="s">
        <v>405</v>
      </c>
      <c r="B183" s="283" t="s">
        <v>260</v>
      </c>
      <c r="C183" s="225">
        <f>((52.64*2)+5.3)*4*0.888*1.09</f>
        <v>428.13037440000005</v>
      </c>
      <c r="D183" s="289" t="s">
        <v>35</v>
      </c>
      <c r="E183" s="294">
        <v>22.1</v>
      </c>
      <c r="F183" s="295">
        <f t="shared" ref="F183:F189" si="61">C183*E183</f>
        <v>9461.6812742400016</v>
      </c>
      <c r="G183" s="294">
        <v>3.6</v>
      </c>
      <c r="H183" s="295">
        <f t="shared" ref="H183:H190" si="62">C183*G183</f>
        <v>1541.2693478400001</v>
      </c>
      <c r="I183" s="295">
        <f t="shared" ref="I183" si="63">SUM(F183,H183)</f>
        <v>11002.950622080001</v>
      </c>
      <c r="J183" s="333"/>
      <c r="M183" s="326"/>
    </row>
    <row r="184" spans="1:13" s="200" customFormat="1" x14ac:dyDescent="0.7">
      <c r="A184" s="338" t="s">
        <v>406</v>
      </c>
      <c r="B184" s="277" t="s">
        <v>263</v>
      </c>
      <c r="C184" s="284">
        <f>3.14*5.3/2*5.3/2*0.15</f>
        <v>3.3075974999999995</v>
      </c>
      <c r="D184" s="297" t="s">
        <v>24</v>
      </c>
      <c r="E184" s="298">
        <v>2115</v>
      </c>
      <c r="F184" s="284">
        <f t="shared" si="61"/>
        <v>6995.5687124999986</v>
      </c>
      <c r="G184" s="298">
        <v>350</v>
      </c>
      <c r="H184" s="284">
        <f t="shared" si="62"/>
        <v>1157.6591249999999</v>
      </c>
      <c r="I184" s="292">
        <f t="shared" ref="I184" si="64">F184+H184</f>
        <v>8153.2278374999987</v>
      </c>
      <c r="J184" s="199"/>
      <c r="M184" s="206"/>
    </row>
    <row r="185" spans="1:13" s="200" customFormat="1" x14ac:dyDescent="0.7">
      <c r="A185" s="338" t="s">
        <v>407</v>
      </c>
      <c r="B185" s="277" t="s">
        <v>262</v>
      </c>
      <c r="C185" s="225">
        <f>(22.06+(16.65*0.15))*0.7</f>
        <v>17.190249999999995</v>
      </c>
      <c r="D185" s="297" t="s">
        <v>25</v>
      </c>
      <c r="E185" s="298">
        <v>451.4</v>
      </c>
      <c r="F185" s="284">
        <f t="shared" si="61"/>
        <v>7759.6788499999975</v>
      </c>
      <c r="G185" s="298">
        <v>133</v>
      </c>
      <c r="H185" s="284">
        <f t="shared" si="62"/>
        <v>2286.3032499999995</v>
      </c>
      <c r="I185" s="295">
        <f t="shared" ref="I185:I189" si="65">SUM(F185,H185)</f>
        <v>10045.982099999997</v>
      </c>
      <c r="J185" s="199"/>
      <c r="M185" s="206"/>
    </row>
    <row r="186" spans="1:13" s="200" customFormat="1" x14ac:dyDescent="0.7">
      <c r="A186" s="338" t="s">
        <v>408</v>
      </c>
      <c r="B186" s="277" t="s">
        <v>323</v>
      </c>
      <c r="C186" s="284">
        <v>6.28</v>
      </c>
      <c r="D186" s="297" t="s">
        <v>25</v>
      </c>
      <c r="E186" s="304">
        <v>452.4</v>
      </c>
      <c r="F186" s="305">
        <f t="shared" si="61"/>
        <v>2841.0720000000001</v>
      </c>
      <c r="G186" s="304">
        <v>134</v>
      </c>
      <c r="H186" s="305">
        <f t="shared" si="62"/>
        <v>841.52</v>
      </c>
      <c r="I186" s="305">
        <f t="shared" si="65"/>
        <v>3682.5920000000001</v>
      </c>
      <c r="J186" s="199"/>
      <c r="M186" s="206"/>
    </row>
    <row r="187" spans="1:13" s="200" customFormat="1" x14ac:dyDescent="0.7">
      <c r="A187" s="338" t="s">
        <v>409</v>
      </c>
      <c r="B187" s="277" t="s">
        <v>359</v>
      </c>
      <c r="C187" s="284">
        <v>2</v>
      </c>
      <c r="D187" s="297" t="s">
        <v>314</v>
      </c>
      <c r="E187" s="304">
        <v>547</v>
      </c>
      <c r="F187" s="305">
        <f t="shared" si="61"/>
        <v>1094</v>
      </c>
      <c r="G187" s="304">
        <v>120</v>
      </c>
      <c r="H187" s="305">
        <f t="shared" si="62"/>
        <v>240</v>
      </c>
      <c r="I187" s="305">
        <f t="shared" si="65"/>
        <v>1334</v>
      </c>
      <c r="J187" s="199"/>
      <c r="M187" s="206"/>
    </row>
    <row r="188" spans="1:13" s="200" customFormat="1" x14ac:dyDescent="0.7">
      <c r="A188" s="338" t="s">
        <v>410</v>
      </c>
      <c r="B188" s="277" t="s">
        <v>358</v>
      </c>
      <c r="C188" s="284">
        <v>3</v>
      </c>
      <c r="D188" s="297" t="s">
        <v>55</v>
      </c>
      <c r="E188" s="304">
        <f>E187*0.5</f>
        <v>273.5</v>
      </c>
      <c r="F188" s="305">
        <f t="shared" si="61"/>
        <v>820.5</v>
      </c>
      <c r="G188" s="304">
        <f>E187*0.3</f>
        <v>164.1</v>
      </c>
      <c r="H188" s="305">
        <f t="shared" si="62"/>
        <v>492.29999999999995</v>
      </c>
      <c r="I188" s="305">
        <f t="shared" si="65"/>
        <v>1312.8</v>
      </c>
      <c r="J188" s="199"/>
      <c r="M188" s="206"/>
    </row>
    <row r="189" spans="1:13" s="325" customFormat="1" x14ac:dyDescent="0.7">
      <c r="A189" s="338" t="s">
        <v>411</v>
      </c>
      <c r="B189" s="283" t="s">
        <v>261</v>
      </c>
      <c r="C189" s="225">
        <f>C183/1000*30</f>
        <v>12.843911232000002</v>
      </c>
      <c r="D189" s="289" t="s">
        <v>35</v>
      </c>
      <c r="E189" s="188">
        <v>21.58</v>
      </c>
      <c r="F189" s="186">
        <f t="shared" si="61"/>
        <v>277.17160438656003</v>
      </c>
      <c r="G189" s="188">
        <v>4.0999999999999996</v>
      </c>
      <c r="H189" s="186">
        <f t="shared" si="62"/>
        <v>52.660036051200002</v>
      </c>
      <c r="I189" s="186">
        <f t="shared" si="65"/>
        <v>329.83164043776003</v>
      </c>
      <c r="J189" s="202"/>
      <c r="M189" s="326"/>
    </row>
    <row r="190" spans="1:13" s="325" customFormat="1" x14ac:dyDescent="0.7">
      <c r="A190" s="338" t="s">
        <v>412</v>
      </c>
      <c r="B190" s="283" t="s">
        <v>300</v>
      </c>
      <c r="C190" s="225">
        <f>C185/0.25</f>
        <v>68.760999999999981</v>
      </c>
      <c r="D190" s="289" t="s">
        <v>35</v>
      </c>
      <c r="E190" s="188">
        <v>46.42</v>
      </c>
      <c r="F190" s="186">
        <f>C190*E190</f>
        <v>3191.8856199999991</v>
      </c>
      <c r="G190" s="188"/>
      <c r="H190" s="186">
        <f t="shared" si="62"/>
        <v>0</v>
      </c>
      <c r="I190" s="186">
        <f>F190+H190</f>
        <v>3191.8856199999991</v>
      </c>
      <c r="J190" s="202"/>
      <c r="M190" s="326"/>
    </row>
    <row r="191" spans="1:13" s="200" customFormat="1" x14ac:dyDescent="0.7">
      <c r="A191" s="300" t="s">
        <v>413</v>
      </c>
      <c r="B191" s="299" t="s">
        <v>322</v>
      </c>
      <c r="C191" s="284"/>
      <c r="D191" s="297"/>
      <c r="E191" s="298"/>
      <c r="F191" s="284"/>
      <c r="G191" s="298"/>
      <c r="H191" s="284"/>
      <c r="I191" s="295"/>
      <c r="J191" s="199"/>
      <c r="M191" s="206"/>
    </row>
    <row r="192" spans="1:13" s="200" customFormat="1" x14ac:dyDescent="0.7">
      <c r="A192" s="301" t="s">
        <v>414</v>
      </c>
      <c r="B192" s="302" t="s">
        <v>323</v>
      </c>
      <c r="C192" s="329">
        <v>44</v>
      </c>
      <c r="D192" s="303" t="s">
        <v>25</v>
      </c>
      <c r="E192" s="304">
        <v>452.4</v>
      </c>
      <c r="F192" s="305">
        <f t="shared" ref="F192:F206" si="66">C192*E192</f>
        <v>19905.599999999999</v>
      </c>
      <c r="G192" s="304">
        <v>134</v>
      </c>
      <c r="H192" s="305">
        <f t="shared" ref="H192:H206" si="67">C192*G192</f>
        <v>5896</v>
      </c>
      <c r="I192" s="305">
        <f t="shared" ref="I192:I206" si="68">SUM(F192,H192)</f>
        <v>25801.599999999999</v>
      </c>
      <c r="J192" s="306"/>
    </row>
    <row r="193" spans="1:15" s="200" customFormat="1" x14ac:dyDescent="0.7">
      <c r="A193" s="301" t="s">
        <v>415</v>
      </c>
      <c r="B193" s="314" t="s">
        <v>327</v>
      </c>
      <c r="C193" s="329">
        <v>44</v>
      </c>
      <c r="D193" s="303" t="s">
        <v>25</v>
      </c>
      <c r="E193" s="304">
        <v>43</v>
      </c>
      <c r="F193" s="315">
        <f t="shared" si="66"/>
        <v>1892</v>
      </c>
      <c r="G193" s="304">
        <v>34</v>
      </c>
      <c r="H193" s="305">
        <f t="shared" si="67"/>
        <v>1496</v>
      </c>
      <c r="I193" s="305">
        <f t="shared" si="68"/>
        <v>3388</v>
      </c>
      <c r="J193" s="306"/>
    </row>
    <row r="194" spans="1:15" s="200" customFormat="1" x14ac:dyDescent="0.7">
      <c r="A194" s="319"/>
      <c r="B194" s="311" t="s">
        <v>325</v>
      </c>
      <c r="C194" s="320"/>
      <c r="D194" s="312"/>
      <c r="E194" s="322"/>
      <c r="F194" s="313"/>
      <c r="G194" s="322"/>
      <c r="H194" s="323"/>
      <c r="I194" s="323"/>
      <c r="J194" s="324"/>
    </row>
    <row r="195" spans="1:15" s="200" customFormat="1" x14ac:dyDescent="0.7">
      <c r="A195" s="307"/>
      <c r="B195" s="316" t="s">
        <v>326</v>
      </c>
      <c r="C195" s="321"/>
      <c r="D195" s="317"/>
      <c r="E195" s="308"/>
      <c r="F195" s="318"/>
      <c r="G195" s="308"/>
      <c r="H195" s="309"/>
      <c r="I195" s="309"/>
      <c r="J195" s="310"/>
    </row>
    <row r="196" spans="1:15" s="200" customFormat="1" x14ac:dyDescent="0.7">
      <c r="A196" s="265" t="s">
        <v>416</v>
      </c>
      <c r="B196" s="152" t="s">
        <v>264</v>
      </c>
      <c r="C196" s="149">
        <v>1</v>
      </c>
      <c r="D196" s="138" t="s">
        <v>55</v>
      </c>
      <c r="E196" s="294">
        <v>940</v>
      </c>
      <c r="F196" s="295">
        <f>C196*E196</f>
        <v>940</v>
      </c>
      <c r="G196" s="294">
        <v>400</v>
      </c>
      <c r="H196" s="205">
        <f t="shared" si="67"/>
        <v>400</v>
      </c>
      <c r="I196" s="205">
        <f t="shared" si="68"/>
        <v>1340</v>
      </c>
      <c r="J196" s="199"/>
      <c r="M196" s="207" t="s">
        <v>116</v>
      </c>
      <c r="N196" s="207"/>
      <c r="O196" s="207"/>
    </row>
    <row r="197" spans="1:15" s="200" customFormat="1" x14ac:dyDescent="0.7">
      <c r="A197" s="265" t="s">
        <v>417</v>
      </c>
      <c r="B197" s="152" t="s">
        <v>332</v>
      </c>
      <c r="C197" s="284">
        <v>25.44</v>
      </c>
      <c r="D197" s="138" t="s">
        <v>25</v>
      </c>
      <c r="E197" s="294">
        <v>490</v>
      </c>
      <c r="F197" s="205">
        <f t="shared" si="66"/>
        <v>12465.6</v>
      </c>
      <c r="G197" s="294">
        <v>80</v>
      </c>
      <c r="H197" s="205">
        <f t="shared" si="67"/>
        <v>2035.2</v>
      </c>
      <c r="I197" s="205">
        <f t="shared" si="68"/>
        <v>14500.800000000001</v>
      </c>
      <c r="J197" s="199"/>
      <c r="M197" s="207" t="s">
        <v>117</v>
      </c>
      <c r="N197" s="207" t="s">
        <v>118</v>
      </c>
      <c r="O197" s="207" t="s">
        <v>2</v>
      </c>
    </row>
    <row r="198" spans="1:15" s="200" customFormat="1" x14ac:dyDescent="0.7">
      <c r="A198" s="265" t="s">
        <v>418</v>
      </c>
      <c r="B198" s="152" t="s">
        <v>324</v>
      </c>
      <c r="C198" s="149">
        <v>1</v>
      </c>
      <c r="D198" s="138" t="s">
        <v>23</v>
      </c>
      <c r="E198" s="294">
        <v>3850</v>
      </c>
      <c r="F198" s="205">
        <f t="shared" si="66"/>
        <v>3850</v>
      </c>
      <c r="G198" s="197">
        <v>198</v>
      </c>
      <c r="H198" s="205">
        <f t="shared" si="67"/>
        <v>198</v>
      </c>
      <c r="I198" s="205">
        <f t="shared" si="68"/>
        <v>4048</v>
      </c>
      <c r="J198" s="199"/>
      <c r="M198" s="208">
        <f>SUM(F192:F198)</f>
        <v>39053.199999999997</v>
      </c>
      <c r="N198" s="208">
        <f>SUM(H192:H198)</f>
        <v>10025.200000000001</v>
      </c>
      <c r="O198" s="208">
        <f>SUM(I192:I198)</f>
        <v>49078.400000000001</v>
      </c>
    </row>
    <row r="199" spans="1:15" s="200" customFormat="1" x14ac:dyDescent="0.7">
      <c r="A199" s="330" t="s">
        <v>419</v>
      </c>
      <c r="B199" s="273" t="s">
        <v>328</v>
      </c>
      <c r="C199" s="149"/>
      <c r="D199" s="138"/>
      <c r="E199" s="294"/>
      <c r="F199" s="205"/>
      <c r="G199" s="197"/>
      <c r="H199" s="205"/>
      <c r="I199" s="205"/>
      <c r="J199" s="199"/>
      <c r="M199" s="261"/>
      <c r="N199" s="261"/>
      <c r="O199" s="261"/>
    </row>
    <row r="200" spans="1:15" s="200" customFormat="1" x14ac:dyDescent="0.7">
      <c r="A200" s="331" t="s">
        <v>420</v>
      </c>
      <c r="B200" s="152" t="s">
        <v>329</v>
      </c>
      <c r="C200" s="149">
        <v>2</v>
      </c>
      <c r="D200" s="138" t="s">
        <v>333</v>
      </c>
      <c r="E200" s="294">
        <v>250</v>
      </c>
      <c r="F200" s="205">
        <f t="shared" si="66"/>
        <v>500</v>
      </c>
      <c r="G200" s="197">
        <v>170</v>
      </c>
      <c r="H200" s="205">
        <f t="shared" si="67"/>
        <v>340</v>
      </c>
      <c r="I200" s="205">
        <f t="shared" si="68"/>
        <v>840</v>
      </c>
      <c r="J200" s="199"/>
      <c r="M200" s="261"/>
      <c r="N200" s="261"/>
      <c r="O200" s="261"/>
    </row>
    <row r="201" spans="1:15" s="200" customFormat="1" x14ac:dyDescent="0.7">
      <c r="A201" s="331" t="s">
        <v>421</v>
      </c>
      <c r="B201" s="152" t="s">
        <v>330</v>
      </c>
      <c r="C201" s="149">
        <v>1</v>
      </c>
      <c r="D201" s="138" t="s">
        <v>23</v>
      </c>
      <c r="E201" s="294">
        <v>107</v>
      </c>
      <c r="F201" s="205">
        <f t="shared" si="66"/>
        <v>107</v>
      </c>
      <c r="G201" s="197">
        <v>90</v>
      </c>
      <c r="H201" s="205">
        <f t="shared" si="67"/>
        <v>90</v>
      </c>
      <c r="I201" s="205">
        <f t="shared" si="68"/>
        <v>197</v>
      </c>
      <c r="J201" s="199"/>
      <c r="M201" s="261"/>
      <c r="N201" s="261"/>
      <c r="O201" s="261"/>
    </row>
    <row r="202" spans="1:15" s="200" customFormat="1" x14ac:dyDescent="0.7">
      <c r="A202" s="331" t="s">
        <v>422</v>
      </c>
      <c r="B202" s="152" t="s">
        <v>331</v>
      </c>
      <c r="C202" s="149">
        <v>2</v>
      </c>
      <c r="D202" s="138" t="s">
        <v>23</v>
      </c>
      <c r="E202" s="294">
        <v>95</v>
      </c>
      <c r="F202" s="205">
        <f t="shared" si="66"/>
        <v>190</v>
      </c>
      <c r="G202" s="197">
        <v>80</v>
      </c>
      <c r="H202" s="205">
        <f t="shared" si="67"/>
        <v>160</v>
      </c>
      <c r="I202" s="205">
        <f t="shared" si="68"/>
        <v>350</v>
      </c>
      <c r="J202" s="199"/>
      <c r="M202" s="261"/>
      <c r="N202" s="261"/>
      <c r="O202" s="261"/>
    </row>
    <row r="203" spans="1:15" s="325" customFormat="1" x14ac:dyDescent="0.7">
      <c r="A203" s="331" t="s">
        <v>423</v>
      </c>
      <c r="B203" s="182" t="s">
        <v>371</v>
      </c>
      <c r="C203" s="186">
        <v>5</v>
      </c>
      <c r="D203" s="187" t="s">
        <v>41</v>
      </c>
      <c r="E203" s="345">
        <v>100</v>
      </c>
      <c r="F203" s="204">
        <f t="shared" si="66"/>
        <v>500</v>
      </c>
      <c r="G203" s="203"/>
      <c r="H203" s="204">
        <f t="shared" si="67"/>
        <v>0</v>
      </c>
      <c r="I203" s="204">
        <f t="shared" si="68"/>
        <v>500</v>
      </c>
      <c r="J203" s="202"/>
      <c r="M203" s="348"/>
      <c r="N203" s="348"/>
      <c r="O203" s="348"/>
    </row>
    <row r="204" spans="1:15" s="200" customFormat="1" x14ac:dyDescent="0.7">
      <c r="A204" s="331" t="s">
        <v>424</v>
      </c>
      <c r="B204" s="152" t="s">
        <v>370</v>
      </c>
      <c r="C204" s="149">
        <v>1</v>
      </c>
      <c r="D204" s="138" t="s">
        <v>43</v>
      </c>
      <c r="E204" s="294"/>
      <c r="F204" s="205">
        <f t="shared" si="66"/>
        <v>0</v>
      </c>
      <c r="G204" s="197">
        <f>0.3*I203</f>
        <v>150</v>
      </c>
      <c r="H204" s="205">
        <f>C204*G204</f>
        <v>150</v>
      </c>
      <c r="I204" s="205">
        <f t="shared" si="68"/>
        <v>150</v>
      </c>
      <c r="J204" s="199"/>
      <c r="M204" s="261"/>
      <c r="N204" s="261"/>
      <c r="O204" s="261"/>
    </row>
    <row r="205" spans="1:15" s="200" customFormat="1" x14ac:dyDescent="0.7">
      <c r="A205" s="254"/>
      <c r="B205" s="259" t="s">
        <v>240</v>
      </c>
      <c r="C205" s="255"/>
      <c r="D205" s="256"/>
      <c r="E205" s="257"/>
      <c r="F205" s="250">
        <f>SUM(F148:F204)</f>
        <v>144462.52001903937</v>
      </c>
      <c r="G205" s="257"/>
      <c r="H205" s="250">
        <f>SUM(H148:H204)</f>
        <v>30236.463477647198</v>
      </c>
      <c r="I205" s="250">
        <f>SUM(I147:I204)</f>
        <v>174698.98349668653</v>
      </c>
      <c r="J205" s="371"/>
      <c r="M205" s="261"/>
      <c r="N205" s="261"/>
      <c r="O205" s="261"/>
    </row>
    <row r="206" spans="1:15" s="210" customFormat="1" x14ac:dyDescent="0.7">
      <c r="A206" s="201">
        <v>8.1199999999999992</v>
      </c>
      <c r="B206" s="182" t="s">
        <v>108</v>
      </c>
      <c r="C206" s="186">
        <v>1</v>
      </c>
      <c r="D206" s="187" t="s">
        <v>43</v>
      </c>
      <c r="E206" s="203"/>
      <c r="F206" s="204">
        <f t="shared" si="66"/>
        <v>0</v>
      </c>
      <c r="G206" s="203">
        <v>25000</v>
      </c>
      <c r="H206" s="204">
        <f t="shared" si="67"/>
        <v>25000</v>
      </c>
      <c r="I206" s="204">
        <f t="shared" si="68"/>
        <v>25000</v>
      </c>
      <c r="J206" s="209"/>
    </row>
    <row r="207" spans="1:15" s="210" customFormat="1" x14ac:dyDescent="0.7">
      <c r="A207" s="352"/>
      <c r="B207" s="259" t="s">
        <v>241</v>
      </c>
      <c r="C207" s="255"/>
      <c r="D207" s="256"/>
      <c r="E207" s="257"/>
      <c r="F207" s="258"/>
      <c r="G207" s="257"/>
      <c r="H207" s="258"/>
      <c r="I207" s="250">
        <f>SUM(I206)</f>
        <v>25000</v>
      </c>
      <c r="J207" s="262"/>
    </row>
    <row r="208" spans="1:15" s="191" customFormat="1" x14ac:dyDescent="0.7">
      <c r="A208" s="211"/>
      <c r="B208" s="212" t="s">
        <v>86</v>
      </c>
      <c r="C208" s="365"/>
      <c r="D208" s="213"/>
      <c r="E208" s="214"/>
      <c r="F208" s="215">
        <f>SUM(F126:F206)</f>
        <v>1113370.4660457268</v>
      </c>
      <c r="G208" s="214"/>
      <c r="H208" s="215">
        <f>SUM(H126:H206)</f>
        <v>136161.5830634544</v>
      </c>
      <c r="I208" s="215">
        <f>I91+I100+I113+I125+I135+I146+I205+I207</f>
        <v>822296.02455459058</v>
      </c>
      <c r="J208" s="216"/>
    </row>
    <row r="209" spans="1:13" s="191" customFormat="1" x14ac:dyDescent="0.7">
      <c r="A209" s="372">
        <v>9</v>
      </c>
      <c r="B209" s="131" t="s">
        <v>161</v>
      </c>
      <c r="C209" s="355"/>
      <c r="D209" s="132"/>
      <c r="E209" s="133"/>
      <c r="F209" s="217"/>
      <c r="G209" s="133"/>
      <c r="H209" s="217"/>
      <c r="I209" s="217"/>
      <c r="J209" s="218"/>
      <c r="M209" s="219">
        <f>SUM(I192:I198)</f>
        <v>49078.400000000001</v>
      </c>
    </row>
    <row r="210" spans="1:13" s="191" customFormat="1" x14ac:dyDescent="0.7">
      <c r="A210" s="275">
        <v>9.1</v>
      </c>
      <c r="B210" s="224" t="s">
        <v>125</v>
      </c>
      <c r="C210" s="281"/>
      <c r="D210" s="187"/>
      <c r="E210" s="188"/>
      <c r="F210" s="225"/>
      <c r="G210" s="188"/>
      <c r="H210" s="225"/>
      <c r="I210" s="225"/>
      <c r="J210" s="223"/>
    </row>
    <row r="211" spans="1:13" s="191" customFormat="1" x14ac:dyDescent="0.7">
      <c r="A211" s="220" t="s">
        <v>265</v>
      </c>
      <c r="B211" s="182" t="s">
        <v>299</v>
      </c>
      <c r="C211" s="137">
        <v>4</v>
      </c>
      <c r="D211" s="138" t="s">
        <v>23</v>
      </c>
      <c r="E211" s="139">
        <v>32000</v>
      </c>
      <c r="F211" s="221">
        <f>C211*E211</f>
        <v>128000</v>
      </c>
      <c r="G211" s="139">
        <v>2500</v>
      </c>
      <c r="H211" s="222">
        <f>C211*G211</f>
        <v>10000</v>
      </c>
      <c r="I211" s="222">
        <f>SUM(F211,H211)</f>
        <v>138000</v>
      </c>
      <c r="J211" s="223"/>
    </row>
    <row r="212" spans="1:13" s="191" customFormat="1" x14ac:dyDescent="0.7">
      <c r="A212" s="220" t="s">
        <v>266</v>
      </c>
      <c r="B212" s="182" t="s">
        <v>297</v>
      </c>
      <c r="C212" s="137">
        <v>1</v>
      </c>
      <c r="D212" s="138" t="s">
        <v>23</v>
      </c>
      <c r="E212" s="139">
        <v>20000</v>
      </c>
      <c r="F212" s="221">
        <f>C212*E212</f>
        <v>20000</v>
      </c>
      <c r="G212" s="139">
        <v>5000</v>
      </c>
      <c r="H212" s="222">
        <f>C212*G212</f>
        <v>5000</v>
      </c>
      <c r="I212" s="222">
        <f>SUM(F212,H212)</f>
        <v>25000</v>
      </c>
      <c r="J212" s="223"/>
    </row>
    <row r="213" spans="1:13" s="191" customFormat="1" x14ac:dyDescent="0.7">
      <c r="A213" s="220" t="s">
        <v>267</v>
      </c>
      <c r="B213" s="182" t="s">
        <v>298</v>
      </c>
      <c r="C213" s="137">
        <v>1</v>
      </c>
      <c r="D213" s="138" t="s">
        <v>23</v>
      </c>
      <c r="E213" s="139">
        <v>20000</v>
      </c>
      <c r="F213" s="221">
        <f>C213*E213</f>
        <v>20000</v>
      </c>
      <c r="G213" s="139">
        <v>5000</v>
      </c>
      <c r="H213" s="222">
        <f>C213*G213</f>
        <v>5000</v>
      </c>
      <c r="I213" s="222">
        <f>SUM(F213,H213)</f>
        <v>25000</v>
      </c>
      <c r="J213" s="223"/>
    </row>
    <row r="214" spans="1:13" s="191" customFormat="1" x14ac:dyDescent="0.7">
      <c r="A214" s="220" t="s">
        <v>268</v>
      </c>
      <c r="B214" s="182" t="s">
        <v>269</v>
      </c>
      <c r="C214" s="137">
        <v>1</v>
      </c>
      <c r="D214" s="138" t="s">
        <v>43</v>
      </c>
      <c r="E214" s="139">
        <v>15000</v>
      </c>
      <c r="F214" s="221">
        <f>C214*E214</f>
        <v>15000</v>
      </c>
      <c r="G214" s="139">
        <v>5000</v>
      </c>
      <c r="H214" s="222">
        <f>C214*G214</f>
        <v>5000</v>
      </c>
      <c r="I214" s="222">
        <f t="shared" ref="I214:I235" si="69">SUM(F214,H214)</f>
        <v>20000</v>
      </c>
      <c r="J214" s="223"/>
    </row>
    <row r="215" spans="1:13" s="191" customFormat="1" x14ac:dyDescent="0.7">
      <c r="A215" s="268"/>
      <c r="B215" s="259" t="s">
        <v>277</v>
      </c>
      <c r="C215" s="366"/>
      <c r="D215" s="256"/>
      <c r="E215" s="269"/>
      <c r="F215" s="373">
        <f>SUM(F211:F214)</f>
        <v>183000</v>
      </c>
      <c r="G215" s="374"/>
      <c r="H215" s="271">
        <f>SUM(H211:H214)</f>
        <v>25000</v>
      </c>
      <c r="I215" s="271">
        <f>SUM(I211:I214)</f>
        <v>208000</v>
      </c>
      <c r="J215" s="270"/>
    </row>
    <row r="216" spans="1:13" s="191" customFormat="1" x14ac:dyDescent="0.7">
      <c r="A216" s="275">
        <v>9.1999999999999993</v>
      </c>
      <c r="B216" s="224" t="s">
        <v>126</v>
      </c>
      <c r="C216" s="281"/>
      <c r="D216" s="187"/>
      <c r="E216" s="188"/>
      <c r="F216" s="225"/>
      <c r="G216" s="188"/>
      <c r="H216" s="225"/>
      <c r="I216" s="225"/>
      <c r="J216" s="223"/>
    </row>
    <row r="217" spans="1:13" s="191" customFormat="1" x14ac:dyDescent="0.7">
      <c r="A217" s="275" t="s">
        <v>270</v>
      </c>
      <c r="B217" s="224" t="s">
        <v>122</v>
      </c>
      <c r="C217" s="281"/>
      <c r="D217" s="187"/>
      <c r="E217" s="188"/>
      <c r="F217" s="225"/>
      <c r="G217" s="188"/>
      <c r="H217" s="225"/>
      <c r="I217" s="225"/>
      <c r="J217" s="223"/>
    </row>
    <row r="218" spans="1:13" s="191" customFormat="1" x14ac:dyDescent="0.7">
      <c r="A218" s="220" t="s">
        <v>272</v>
      </c>
      <c r="B218" s="182" t="s">
        <v>286</v>
      </c>
      <c r="C218" s="281">
        <v>750</v>
      </c>
      <c r="D218" s="187" t="s">
        <v>123</v>
      </c>
      <c r="E218" s="188">
        <v>250</v>
      </c>
      <c r="F218" s="226">
        <f>C218*E218</f>
        <v>187500</v>
      </c>
      <c r="G218" s="188">
        <v>35</v>
      </c>
      <c r="H218" s="225">
        <f>C218*G218</f>
        <v>26250</v>
      </c>
      <c r="I218" s="225">
        <f t="shared" si="69"/>
        <v>213750</v>
      </c>
      <c r="J218" s="223"/>
    </row>
    <row r="219" spans="1:13" s="191" customFormat="1" x14ac:dyDescent="0.7">
      <c r="A219" s="220" t="s">
        <v>273</v>
      </c>
      <c r="B219" s="182" t="s">
        <v>287</v>
      </c>
      <c r="C219" s="281">
        <v>1700</v>
      </c>
      <c r="D219" s="187" t="s">
        <v>123</v>
      </c>
      <c r="E219" s="188">
        <v>310</v>
      </c>
      <c r="F219" s="226">
        <f>C219*E219</f>
        <v>527000</v>
      </c>
      <c r="G219" s="188">
        <v>45</v>
      </c>
      <c r="H219" s="225">
        <f>C219*G219</f>
        <v>76500</v>
      </c>
      <c r="I219" s="225">
        <f t="shared" si="69"/>
        <v>603500</v>
      </c>
      <c r="J219" s="223"/>
    </row>
    <row r="220" spans="1:13" s="191" customFormat="1" x14ac:dyDescent="0.7">
      <c r="A220" s="220" t="s">
        <v>274</v>
      </c>
      <c r="B220" s="182" t="s">
        <v>288</v>
      </c>
      <c r="C220" s="281">
        <v>370</v>
      </c>
      <c r="D220" s="187" t="s">
        <v>123</v>
      </c>
      <c r="E220" s="188">
        <v>680</v>
      </c>
      <c r="F220" s="226">
        <f>C220*E220</f>
        <v>251600</v>
      </c>
      <c r="G220" s="188">
        <v>115</v>
      </c>
      <c r="H220" s="225">
        <f>C220*G220</f>
        <v>42550</v>
      </c>
      <c r="I220" s="225">
        <f>SUM(F220,H220)</f>
        <v>294150</v>
      </c>
      <c r="J220" s="223"/>
    </row>
    <row r="221" spans="1:13" s="191" customFormat="1" x14ac:dyDescent="0.7">
      <c r="A221" s="275" t="s">
        <v>271</v>
      </c>
      <c r="B221" s="224" t="s">
        <v>124</v>
      </c>
      <c r="C221" s="281"/>
      <c r="D221" s="187"/>
      <c r="E221" s="188"/>
      <c r="F221" s="226"/>
      <c r="G221" s="188"/>
      <c r="H221" s="225"/>
      <c r="I221" s="225"/>
      <c r="J221" s="223"/>
    </row>
    <row r="222" spans="1:13" s="191" customFormat="1" x14ac:dyDescent="0.7">
      <c r="A222" s="220" t="s">
        <v>275</v>
      </c>
      <c r="B222" s="182" t="s">
        <v>289</v>
      </c>
      <c r="C222" s="281">
        <v>1500</v>
      </c>
      <c r="D222" s="187" t="s">
        <v>123</v>
      </c>
      <c r="E222" s="188">
        <v>12</v>
      </c>
      <c r="F222" s="226">
        <f>C222*E222</f>
        <v>18000</v>
      </c>
      <c r="G222" s="188">
        <v>7</v>
      </c>
      <c r="H222" s="225">
        <f>C222*G222</f>
        <v>10500</v>
      </c>
      <c r="I222" s="225">
        <f>SUM(F222,H222)</f>
        <v>28500</v>
      </c>
      <c r="J222" s="272"/>
    </row>
    <row r="223" spans="1:13" s="191" customFormat="1" x14ac:dyDescent="0.7">
      <c r="A223" s="268"/>
      <c r="B223" s="259" t="s">
        <v>276</v>
      </c>
      <c r="C223" s="366"/>
      <c r="D223" s="256"/>
      <c r="E223" s="269"/>
      <c r="F223" s="373">
        <f>SUM(F218:F222)</f>
        <v>984100</v>
      </c>
      <c r="G223" s="269"/>
      <c r="H223" s="271">
        <f>SUM(H217:H222)</f>
        <v>155800</v>
      </c>
      <c r="I223" s="271">
        <f>SUM(I217:I222)</f>
        <v>1139900</v>
      </c>
      <c r="J223" s="375"/>
    </row>
    <row r="224" spans="1:13" s="191" customFormat="1" x14ac:dyDescent="0.7">
      <c r="A224" s="275">
        <v>9.3000000000000007</v>
      </c>
      <c r="B224" s="224" t="s">
        <v>127</v>
      </c>
      <c r="C224" s="281"/>
      <c r="D224" s="187"/>
      <c r="E224" s="188"/>
      <c r="F224" s="225"/>
      <c r="G224" s="188"/>
      <c r="H224" s="225"/>
      <c r="I224" s="225"/>
      <c r="J224" s="223"/>
    </row>
    <row r="225" spans="1:10" s="191" customFormat="1" x14ac:dyDescent="0.7">
      <c r="A225" s="220" t="s">
        <v>279</v>
      </c>
      <c r="B225" s="182" t="s">
        <v>283</v>
      </c>
      <c r="C225" s="137">
        <v>450</v>
      </c>
      <c r="D225" s="138" t="s">
        <v>123</v>
      </c>
      <c r="E225" s="139">
        <v>170</v>
      </c>
      <c r="F225" s="221">
        <f>C225*E225</f>
        <v>76500</v>
      </c>
      <c r="G225" s="188">
        <v>34</v>
      </c>
      <c r="H225" s="222">
        <f>C225*G225</f>
        <v>15300</v>
      </c>
      <c r="I225" s="222">
        <f t="shared" si="69"/>
        <v>91800</v>
      </c>
      <c r="J225" s="223"/>
    </row>
    <row r="226" spans="1:10" s="191" customFormat="1" x14ac:dyDescent="0.7">
      <c r="A226" s="220" t="s">
        <v>280</v>
      </c>
      <c r="B226" s="182" t="s">
        <v>284</v>
      </c>
      <c r="C226" s="137">
        <v>400</v>
      </c>
      <c r="D226" s="138" t="s">
        <v>123</v>
      </c>
      <c r="E226" s="139">
        <v>25</v>
      </c>
      <c r="F226" s="221">
        <f>C226*E226</f>
        <v>10000</v>
      </c>
      <c r="G226" s="188">
        <v>34</v>
      </c>
      <c r="H226" s="222">
        <f>C226*G226</f>
        <v>13600</v>
      </c>
      <c r="I226" s="222">
        <f>SUM(F226,H226)</f>
        <v>23600</v>
      </c>
      <c r="J226" s="223"/>
    </row>
    <row r="227" spans="1:10" s="191" customFormat="1" x14ac:dyDescent="0.7">
      <c r="A227" s="220" t="s">
        <v>281</v>
      </c>
      <c r="B227" s="182" t="s">
        <v>285</v>
      </c>
      <c r="C227" s="281">
        <v>120</v>
      </c>
      <c r="D227" s="187" t="s">
        <v>123</v>
      </c>
      <c r="E227" s="188">
        <v>250</v>
      </c>
      <c r="F227" s="226">
        <f>C227*E227</f>
        <v>30000</v>
      </c>
      <c r="G227" s="188">
        <v>65</v>
      </c>
      <c r="H227" s="225">
        <f>C227*G227</f>
        <v>7800</v>
      </c>
      <c r="I227" s="225">
        <f t="shared" si="69"/>
        <v>37800</v>
      </c>
      <c r="J227" s="223"/>
    </row>
    <row r="228" spans="1:10" s="191" customFormat="1" x14ac:dyDescent="0.7">
      <c r="A228" s="220" t="s">
        <v>282</v>
      </c>
      <c r="B228" s="182" t="s">
        <v>269</v>
      </c>
      <c r="C228" s="137">
        <v>1</v>
      </c>
      <c r="D228" s="138" t="s">
        <v>43</v>
      </c>
      <c r="E228" s="139">
        <v>34000</v>
      </c>
      <c r="F228" s="221">
        <f>C228*E228</f>
        <v>34000</v>
      </c>
      <c r="G228" s="139">
        <v>20000</v>
      </c>
      <c r="H228" s="222">
        <f t="shared" ref="H228:H235" si="70">C228*G228</f>
        <v>20000</v>
      </c>
      <c r="I228" s="222">
        <f t="shared" si="69"/>
        <v>54000</v>
      </c>
      <c r="J228" s="223"/>
    </row>
    <row r="229" spans="1:10" s="191" customFormat="1" x14ac:dyDescent="0.7">
      <c r="A229" s="268"/>
      <c r="B229" s="259" t="s">
        <v>278</v>
      </c>
      <c r="C229" s="366"/>
      <c r="D229" s="256"/>
      <c r="E229" s="269"/>
      <c r="F229" s="373">
        <f>SUM(F225:F228)</f>
        <v>150500</v>
      </c>
      <c r="G229" s="269"/>
      <c r="H229" s="271">
        <f>SUM(H225:H228)</f>
        <v>56700</v>
      </c>
      <c r="I229" s="271">
        <f>SUM(I225:I228)</f>
        <v>207200</v>
      </c>
      <c r="J229" s="375"/>
    </row>
    <row r="230" spans="1:10" s="191" customFormat="1" x14ac:dyDescent="0.7">
      <c r="A230" s="275">
        <v>9.4</v>
      </c>
      <c r="B230" s="224" t="s">
        <v>128</v>
      </c>
      <c r="C230" s="281"/>
      <c r="D230" s="187"/>
      <c r="E230" s="188"/>
      <c r="F230" s="225"/>
      <c r="G230" s="188"/>
      <c r="H230" s="225"/>
      <c r="I230" s="225"/>
      <c r="J230" s="223"/>
    </row>
    <row r="231" spans="1:10" s="191" customFormat="1" x14ac:dyDescent="0.7">
      <c r="A231" s="220" t="s">
        <v>290</v>
      </c>
      <c r="B231" s="182" t="s">
        <v>292</v>
      </c>
      <c r="C231" s="137">
        <v>4</v>
      </c>
      <c r="D231" s="138" t="s">
        <v>23</v>
      </c>
      <c r="E231" s="139">
        <v>12000</v>
      </c>
      <c r="F231" s="221">
        <f>C231*E231</f>
        <v>48000</v>
      </c>
      <c r="G231" s="139">
        <v>2500</v>
      </c>
      <c r="H231" s="222">
        <f t="shared" si="70"/>
        <v>10000</v>
      </c>
      <c r="I231" s="222">
        <f>SUM(F231,H231)</f>
        <v>58000</v>
      </c>
      <c r="J231" s="223"/>
    </row>
    <row r="232" spans="1:10" s="191" customFormat="1" x14ac:dyDescent="0.7">
      <c r="A232" s="220" t="s">
        <v>291</v>
      </c>
      <c r="B232" s="182" t="s">
        <v>269</v>
      </c>
      <c r="C232" s="137">
        <v>1</v>
      </c>
      <c r="D232" s="138" t="s">
        <v>43</v>
      </c>
      <c r="E232" s="139">
        <v>3200</v>
      </c>
      <c r="F232" s="221">
        <f>C232*E232</f>
        <v>3200</v>
      </c>
      <c r="G232" s="139">
        <v>5000</v>
      </c>
      <c r="H232" s="222">
        <f t="shared" si="70"/>
        <v>5000</v>
      </c>
      <c r="I232" s="222">
        <f>SUM(F232,H232)</f>
        <v>8200</v>
      </c>
      <c r="J232" s="223"/>
    </row>
    <row r="233" spans="1:10" s="191" customFormat="1" x14ac:dyDescent="0.7">
      <c r="A233" s="268"/>
      <c r="B233" s="259" t="s">
        <v>293</v>
      </c>
      <c r="C233" s="366"/>
      <c r="D233" s="256"/>
      <c r="E233" s="269"/>
      <c r="F233" s="373">
        <f>SUM(F231:F232)</f>
        <v>51200</v>
      </c>
      <c r="G233" s="374"/>
      <c r="H233" s="271">
        <f>SUM(H231:H232)</f>
        <v>15000</v>
      </c>
      <c r="I233" s="271">
        <f>SUM(I231:I232)</f>
        <v>66200</v>
      </c>
      <c r="J233" s="375"/>
    </row>
    <row r="234" spans="1:10" s="191" customFormat="1" x14ac:dyDescent="0.7">
      <c r="A234" s="275">
        <v>9.5</v>
      </c>
      <c r="B234" s="224" t="s">
        <v>129</v>
      </c>
      <c r="C234" s="281"/>
      <c r="D234" s="187"/>
      <c r="E234" s="188"/>
      <c r="F234" s="225"/>
      <c r="G234" s="188"/>
      <c r="H234" s="225"/>
      <c r="I234" s="225"/>
      <c r="J234" s="223"/>
    </row>
    <row r="235" spans="1:10" s="191" customFormat="1" x14ac:dyDescent="0.7">
      <c r="A235" s="220" t="s">
        <v>294</v>
      </c>
      <c r="B235" s="182" t="s">
        <v>129</v>
      </c>
      <c r="C235" s="137">
        <v>4</v>
      </c>
      <c r="D235" s="138" t="s">
        <v>23</v>
      </c>
      <c r="E235" s="139"/>
      <c r="F235" s="221">
        <f>C235*E235</f>
        <v>0</v>
      </c>
      <c r="G235" s="139">
        <v>10000</v>
      </c>
      <c r="H235" s="222">
        <f t="shared" si="70"/>
        <v>40000</v>
      </c>
      <c r="I235" s="222">
        <f t="shared" si="69"/>
        <v>40000</v>
      </c>
      <c r="J235" s="223"/>
    </row>
    <row r="236" spans="1:10" s="191" customFormat="1" x14ac:dyDescent="0.7">
      <c r="A236" s="268"/>
      <c r="B236" s="259" t="s">
        <v>295</v>
      </c>
      <c r="C236" s="366"/>
      <c r="D236" s="256"/>
      <c r="E236" s="269"/>
      <c r="F236" s="373">
        <f>SUM(F235)</f>
        <v>0</v>
      </c>
      <c r="G236" s="374"/>
      <c r="H236" s="271">
        <f>SUM(H235)</f>
        <v>40000</v>
      </c>
      <c r="I236" s="271">
        <f>SUM(I235)</f>
        <v>40000</v>
      </c>
      <c r="J236" s="270"/>
    </row>
    <row r="237" spans="1:10" s="191" customFormat="1" x14ac:dyDescent="0.7">
      <c r="A237" s="227"/>
      <c r="B237" s="163" t="s">
        <v>130</v>
      </c>
      <c r="C237" s="356"/>
      <c r="D237" s="164"/>
      <c r="E237" s="165"/>
      <c r="F237" s="228">
        <f>SUM(F210:F235)</f>
        <v>2737600</v>
      </c>
      <c r="G237" s="165"/>
      <c r="H237" s="228">
        <f>SUM(H210:H235)</f>
        <v>545000</v>
      </c>
      <c r="I237" s="228">
        <f>I215+I223+I229+I233+I236</f>
        <v>1661300</v>
      </c>
      <c r="J237" s="229"/>
    </row>
    <row r="238" spans="1:10" s="191" customFormat="1" ht="27.75" customHeight="1" x14ac:dyDescent="0.7">
      <c r="A238" s="232"/>
      <c r="B238" s="231" t="s">
        <v>131</v>
      </c>
      <c r="C238" s="367"/>
      <c r="D238" s="232"/>
      <c r="E238" s="230"/>
      <c r="F238" s="230"/>
      <c r="G238" s="230"/>
      <c r="H238" s="230"/>
      <c r="I238" s="233">
        <f>I27+I36+I41+I48+I57+I68+I76+I208+I237</f>
        <v>19042402.33055459</v>
      </c>
      <c r="J238" s="230"/>
    </row>
    <row r="239" spans="1:10" s="191" customFormat="1" x14ac:dyDescent="0.7">
      <c r="A239" s="234"/>
      <c r="C239" s="368"/>
      <c r="D239" s="234"/>
    </row>
    <row r="240" spans="1:10" s="191" customFormat="1" x14ac:dyDescent="0.7">
      <c r="A240" s="385" t="s">
        <v>425</v>
      </c>
      <c r="B240" s="386"/>
      <c r="C240" s="386"/>
      <c r="D240" s="387"/>
      <c r="E240" s="388"/>
      <c r="F240" s="388"/>
      <c r="G240" s="388"/>
    </row>
    <row r="241" spans="1:7" s="191" customFormat="1" x14ac:dyDescent="0.7">
      <c r="A241" s="386" t="s">
        <v>426</v>
      </c>
      <c r="B241" s="386"/>
      <c r="C241" s="386"/>
      <c r="D241" s="387"/>
      <c r="E241" s="388"/>
      <c r="F241" s="388"/>
      <c r="G241" s="388"/>
    </row>
    <row r="242" spans="1:7" s="191" customFormat="1" x14ac:dyDescent="0.7">
      <c r="A242" s="386" t="s">
        <v>436</v>
      </c>
      <c r="B242" s="386"/>
      <c r="C242" s="386"/>
      <c r="D242" s="386"/>
      <c r="E242" s="389"/>
      <c r="F242" s="389"/>
      <c r="G242" s="389"/>
    </row>
    <row r="243" spans="1:7" s="191" customFormat="1" x14ac:dyDescent="0.7">
      <c r="A243" s="386" t="s">
        <v>431</v>
      </c>
      <c r="B243" s="386"/>
      <c r="C243" s="386"/>
      <c r="D243" s="386"/>
      <c r="E243" s="389"/>
      <c r="F243" s="389"/>
      <c r="G243" s="389"/>
    </row>
    <row r="244" spans="1:7" s="191" customFormat="1" x14ac:dyDescent="0.7">
      <c r="A244" s="389" t="s">
        <v>435</v>
      </c>
      <c r="B244" s="390"/>
      <c r="C244" s="390"/>
      <c r="D244" s="389"/>
      <c r="E244" s="389"/>
      <c r="F244" s="389"/>
      <c r="G244" s="389"/>
    </row>
    <row r="245" spans="1:7" s="191" customFormat="1" x14ac:dyDescent="0.7">
      <c r="A245" s="389" t="s">
        <v>432</v>
      </c>
      <c r="B245" s="390"/>
      <c r="C245" s="390"/>
      <c r="D245" s="389"/>
      <c r="E245" s="389"/>
      <c r="F245" s="389"/>
      <c r="G245" s="389"/>
    </row>
    <row r="246" spans="1:7" s="191" customFormat="1" x14ac:dyDescent="0.7">
      <c r="A246" s="389" t="s">
        <v>433</v>
      </c>
      <c r="B246" s="390"/>
      <c r="C246" s="390"/>
      <c r="D246" s="389"/>
      <c r="E246" s="389"/>
      <c r="F246" s="389"/>
      <c r="G246" s="389"/>
    </row>
    <row r="247" spans="1:7" s="191" customFormat="1" x14ac:dyDescent="0.7">
      <c r="A247" s="389" t="s">
        <v>434</v>
      </c>
      <c r="B247" s="390"/>
      <c r="C247" s="390"/>
      <c r="D247" s="389"/>
      <c r="E247" s="389"/>
      <c r="F247" s="389"/>
      <c r="G247" s="389"/>
    </row>
    <row r="248" spans="1:7" s="191" customFormat="1" x14ac:dyDescent="0.7">
      <c r="A248" s="389" t="s">
        <v>427</v>
      </c>
      <c r="B248" s="390"/>
      <c r="C248" s="390"/>
      <c r="D248" s="389"/>
      <c r="E248" s="389"/>
      <c r="F248" s="389"/>
      <c r="G248" s="389"/>
    </row>
    <row r="249" spans="1:7" s="191" customFormat="1" x14ac:dyDescent="0.7">
      <c r="A249" s="389" t="s">
        <v>428</v>
      </c>
      <c r="B249" s="390"/>
      <c r="C249" s="390"/>
      <c r="D249" s="389"/>
      <c r="E249" s="389"/>
      <c r="F249" s="389"/>
      <c r="G249" s="389"/>
    </row>
    <row r="250" spans="1:7" s="191" customFormat="1" x14ac:dyDescent="0.7">
      <c r="A250" s="389" t="s">
        <v>438</v>
      </c>
      <c r="B250" s="390"/>
      <c r="C250" s="390"/>
      <c r="D250" s="389"/>
      <c r="E250" s="389"/>
      <c r="F250" s="389"/>
      <c r="G250" s="389"/>
    </row>
    <row r="251" spans="1:7" s="191" customFormat="1" x14ac:dyDescent="0.7">
      <c r="A251" s="389" t="s">
        <v>437</v>
      </c>
      <c r="B251" s="377"/>
      <c r="C251" s="377"/>
      <c r="D251" s="376"/>
      <c r="E251" s="376"/>
      <c r="F251" s="376"/>
      <c r="G251" s="376"/>
    </row>
    <row r="252" spans="1:7" s="191" customFormat="1" x14ac:dyDescent="0.7">
      <c r="A252" s="376"/>
      <c r="B252" s="377"/>
      <c r="C252" s="377"/>
      <c r="D252" s="376"/>
      <c r="E252" s="376"/>
      <c r="F252" s="376"/>
      <c r="G252" s="376"/>
    </row>
    <row r="253" spans="1:7" s="191" customFormat="1" x14ac:dyDescent="0.7">
      <c r="A253" s="376"/>
      <c r="B253" s="378"/>
      <c r="C253" s="379"/>
      <c r="D253" s="380"/>
      <c r="E253" s="380"/>
      <c r="F253" s="380"/>
      <c r="G253" s="380"/>
    </row>
    <row r="254" spans="1:7" s="191" customFormat="1" x14ac:dyDescent="0.7">
      <c r="A254" s="234"/>
      <c r="C254" s="368"/>
      <c r="D254" s="234"/>
    </row>
    <row r="255" spans="1:7" s="191" customFormat="1" x14ac:dyDescent="0.7">
      <c r="A255" s="234"/>
      <c r="C255" s="368"/>
      <c r="D255" s="234"/>
    </row>
    <row r="256" spans="1:7" s="191" customFormat="1" x14ac:dyDescent="0.7">
      <c r="A256" s="234"/>
      <c r="C256" s="368"/>
      <c r="D256" s="234"/>
    </row>
    <row r="257" spans="1:4" s="191" customFormat="1" x14ac:dyDescent="0.7">
      <c r="A257" s="234"/>
      <c r="C257" s="368"/>
      <c r="D257" s="234"/>
    </row>
    <row r="258" spans="1:4" s="191" customFormat="1" x14ac:dyDescent="0.7">
      <c r="A258" s="234"/>
      <c r="C258" s="368"/>
      <c r="D258" s="234"/>
    </row>
    <row r="259" spans="1:4" s="191" customFormat="1" x14ac:dyDescent="0.7">
      <c r="A259" s="234"/>
      <c r="C259" s="368"/>
      <c r="D259" s="234"/>
    </row>
    <row r="260" spans="1:4" s="191" customFormat="1" x14ac:dyDescent="0.7">
      <c r="A260" s="234"/>
      <c r="C260" s="368"/>
      <c r="D260" s="234"/>
    </row>
    <row r="261" spans="1:4" s="191" customFormat="1" x14ac:dyDescent="0.7">
      <c r="A261" s="234"/>
      <c r="C261" s="368"/>
      <c r="D261" s="234"/>
    </row>
    <row r="262" spans="1:4" s="191" customFormat="1" x14ac:dyDescent="0.7">
      <c r="A262" s="234"/>
      <c r="C262" s="368"/>
      <c r="D262" s="234"/>
    </row>
    <row r="263" spans="1:4" s="191" customFormat="1" x14ac:dyDescent="0.7">
      <c r="A263" s="234"/>
      <c r="C263" s="368"/>
      <c r="D263" s="234"/>
    </row>
    <row r="264" spans="1:4" s="191" customFormat="1" x14ac:dyDescent="0.7">
      <c r="A264" s="234"/>
      <c r="C264" s="368"/>
      <c r="D264" s="234"/>
    </row>
    <row r="265" spans="1:4" s="191" customFormat="1" x14ac:dyDescent="0.7">
      <c r="A265" s="234"/>
      <c r="C265" s="368"/>
      <c r="D265" s="234"/>
    </row>
    <row r="266" spans="1:4" s="191" customFormat="1" x14ac:dyDescent="0.7">
      <c r="A266" s="234"/>
      <c r="C266" s="368"/>
      <c r="D266" s="234"/>
    </row>
    <row r="267" spans="1:4" s="191" customFormat="1" x14ac:dyDescent="0.7">
      <c r="A267" s="234"/>
      <c r="C267" s="368"/>
      <c r="D267" s="234"/>
    </row>
    <row r="268" spans="1:4" s="191" customFormat="1" x14ac:dyDescent="0.7">
      <c r="A268" s="234"/>
      <c r="C268" s="368"/>
      <c r="D268" s="234"/>
    </row>
    <row r="269" spans="1:4" s="191" customFormat="1" x14ac:dyDescent="0.7">
      <c r="A269" s="234"/>
      <c r="C269" s="368"/>
      <c r="D269" s="234"/>
    </row>
    <row r="270" spans="1:4" s="191" customFormat="1" x14ac:dyDescent="0.7">
      <c r="A270" s="234"/>
      <c r="C270" s="368"/>
      <c r="D270" s="234"/>
    </row>
    <row r="271" spans="1:4" s="191" customFormat="1" x14ac:dyDescent="0.7">
      <c r="A271" s="234"/>
      <c r="C271" s="368"/>
      <c r="D271" s="234"/>
    </row>
    <row r="272" spans="1:4" s="191" customFormat="1" x14ac:dyDescent="0.7">
      <c r="A272" s="234"/>
      <c r="C272" s="368"/>
      <c r="D272" s="234"/>
    </row>
    <row r="273" spans="1:4" s="191" customFormat="1" x14ac:dyDescent="0.7">
      <c r="A273" s="234"/>
      <c r="C273" s="368"/>
      <c r="D273" s="234"/>
    </row>
    <row r="274" spans="1:4" s="191" customFormat="1" x14ac:dyDescent="0.7">
      <c r="A274" s="234"/>
      <c r="C274" s="368"/>
      <c r="D274" s="234"/>
    </row>
    <row r="275" spans="1:4" s="191" customFormat="1" x14ac:dyDescent="0.7">
      <c r="A275" s="234"/>
      <c r="C275" s="368"/>
      <c r="D275" s="234"/>
    </row>
    <row r="276" spans="1:4" s="191" customFormat="1" x14ac:dyDescent="0.7">
      <c r="A276" s="234"/>
      <c r="C276" s="368"/>
      <c r="D276" s="234"/>
    </row>
    <row r="277" spans="1:4" s="191" customFormat="1" x14ac:dyDescent="0.7">
      <c r="A277" s="234"/>
      <c r="C277" s="368"/>
      <c r="D277" s="234"/>
    </row>
    <row r="278" spans="1:4" s="191" customFormat="1" x14ac:dyDescent="0.7">
      <c r="A278" s="234"/>
      <c r="C278" s="368"/>
      <c r="D278" s="234"/>
    </row>
    <row r="279" spans="1:4" s="191" customFormat="1" x14ac:dyDescent="0.7">
      <c r="A279" s="234"/>
      <c r="C279" s="368"/>
      <c r="D279" s="234"/>
    </row>
    <row r="280" spans="1:4" s="191" customFormat="1" x14ac:dyDescent="0.7">
      <c r="A280" s="234"/>
      <c r="C280" s="368"/>
      <c r="D280" s="234"/>
    </row>
    <row r="281" spans="1:4" s="191" customFormat="1" x14ac:dyDescent="0.7">
      <c r="A281" s="234"/>
      <c r="C281" s="368"/>
      <c r="D281" s="234"/>
    </row>
    <row r="282" spans="1:4" s="191" customFormat="1" x14ac:dyDescent="0.7">
      <c r="A282" s="234"/>
      <c r="C282" s="368"/>
      <c r="D282" s="234"/>
    </row>
    <row r="283" spans="1:4" s="191" customFormat="1" x14ac:dyDescent="0.7">
      <c r="A283" s="234"/>
      <c r="C283" s="368"/>
      <c r="D283" s="234"/>
    </row>
  </sheetData>
  <mergeCells count="13">
    <mergeCell ref="A5:D5"/>
    <mergeCell ref="A1:J1"/>
    <mergeCell ref="A2:E2"/>
    <mergeCell ref="A3:E3"/>
    <mergeCell ref="A4:F4"/>
    <mergeCell ref="G4:I4"/>
    <mergeCell ref="J8:J9"/>
    <mergeCell ref="A6:B6"/>
    <mergeCell ref="A8:A9"/>
    <mergeCell ref="B8:B9"/>
    <mergeCell ref="C8:D8"/>
    <mergeCell ref="E8:F8"/>
    <mergeCell ref="G8:H8"/>
  </mergeCells>
  <hyperlinks>
    <hyperlink ref="K36" r:id="rId1"/>
  </hyperlinks>
  <pageMargins left="0.59055118110236204" right="0.196850393700787" top="0.55118110236220497" bottom="0.47244094488188998" header="0.43307086614173201" footer="0.27559055118110198"/>
  <pageSetup paperSize="9" scale="50" orientation="landscape" r:id="rId2"/>
  <headerFooter alignWithMargins="0">
    <oddHeader>&amp;Rปร.4/ &amp;P</oddHeader>
  </headerFooter>
  <rowBreaks count="10" manualBreakCount="10">
    <brk id="36" max="87" man="1"/>
    <brk id="41" max="16383" man="1"/>
    <brk id="78" max="16383" man="1"/>
    <brk id="104" max="86" man="1"/>
    <brk id="129" max="16383" man="1"/>
    <brk id="156" max="16383" man="1"/>
    <brk id="181" max="16383" man="1"/>
    <brk id="208" max="16383" man="1"/>
    <brk id="233" max="16383" man="1"/>
    <brk id="25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36"/>
  <sheetViews>
    <sheetView tabSelected="1" topLeftCell="A7" workbookViewId="0">
      <selection activeCell="K12" sqref="K12"/>
    </sheetView>
  </sheetViews>
  <sheetFormatPr defaultRowHeight="21.75" x14ac:dyDescent="0.5"/>
  <cols>
    <col min="1" max="1" width="10.85546875" customWidth="1"/>
    <col min="2" max="2" width="45.140625" customWidth="1"/>
    <col min="3" max="3" width="13.42578125" customWidth="1"/>
    <col min="4" max="4" width="5.5703125" customWidth="1"/>
    <col min="5" max="5" width="11.140625" customWidth="1"/>
    <col min="6" max="6" width="8.140625" customWidth="1"/>
    <col min="10" max="10" width="10.85546875" bestFit="1" customWidth="1"/>
  </cols>
  <sheetData>
    <row r="1" spans="1:6" x14ac:dyDescent="0.5">
      <c r="A1" s="683" t="s">
        <v>27</v>
      </c>
      <c r="B1" s="683"/>
      <c r="C1" s="683"/>
      <c r="D1" s="683"/>
      <c r="E1" s="683"/>
      <c r="F1" s="683"/>
    </row>
    <row r="2" spans="1:6" ht="24" x14ac:dyDescent="0.5">
      <c r="A2" s="684" t="s">
        <v>28</v>
      </c>
      <c r="B2" s="684"/>
      <c r="C2" s="684"/>
      <c r="D2" s="684"/>
      <c r="E2" s="684"/>
      <c r="F2" s="684"/>
    </row>
    <row r="3" spans="1:6" x14ac:dyDescent="0.5">
      <c r="A3" s="74" t="s">
        <v>440</v>
      </c>
      <c r="B3" s="7"/>
      <c r="C3" s="8"/>
      <c r="D3" s="8"/>
      <c r="E3" s="8"/>
      <c r="F3" s="8"/>
    </row>
    <row r="4" spans="1:6" s="63" customFormat="1" x14ac:dyDescent="0.5">
      <c r="A4" s="689" t="s">
        <v>439</v>
      </c>
      <c r="B4" s="689"/>
      <c r="C4" s="75"/>
      <c r="D4" s="75"/>
      <c r="E4" s="75"/>
      <c r="F4" s="75"/>
    </row>
    <row r="5" spans="1:6" x14ac:dyDescent="0.5">
      <c r="A5" s="9" t="s">
        <v>53</v>
      </c>
      <c r="B5" s="9"/>
      <c r="C5" s="9"/>
      <c r="D5" s="9"/>
      <c r="E5" s="10"/>
      <c r="F5" s="10"/>
    </row>
    <row r="6" spans="1:6" x14ac:dyDescent="0.5">
      <c r="A6" s="9" t="s">
        <v>18</v>
      </c>
      <c r="B6" s="9"/>
      <c r="C6" s="10"/>
      <c r="D6" s="10"/>
      <c r="E6" s="10"/>
      <c r="F6" s="10"/>
    </row>
    <row r="7" spans="1:6" x14ac:dyDescent="0.5">
      <c r="A7" s="44" t="s">
        <v>67</v>
      </c>
      <c r="B7" s="45"/>
      <c r="C7" s="46"/>
      <c r="D7" s="46"/>
      <c r="E7" s="46"/>
      <c r="F7" s="46"/>
    </row>
    <row r="8" spans="1:6" x14ac:dyDescent="0.5">
      <c r="A8" s="45" t="s">
        <v>499</v>
      </c>
      <c r="B8" s="45"/>
      <c r="C8" s="46"/>
      <c r="D8" s="46"/>
      <c r="E8" s="46"/>
      <c r="F8" s="46"/>
    </row>
    <row r="9" spans="1:6" x14ac:dyDescent="0.5">
      <c r="A9" s="45" t="s">
        <v>500</v>
      </c>
      <c r="B9" s="45"/>
      <c r="C9" s="46"/>
      <c r="D9" s="46"/>
      <c r="E9" s="46"/>
      <c r="F9" s="46"/>
    </row>
    <row r="10" spans="1:6" ht="22.5" thickBot="1" x14ac:dyDescent="0.55000000000000004">
      <c r="A10" s="685" t="s">
        <v>16</v>
      </c>
      <c r="B10" s="685"/>
      <c r="C10" s="685"/>
      <c r="D10" s="685"/>
      <c r="E10" s="685"/>
      <c r="F10" s="685"/>
    </row>
    <row r="11" spans="1:6" ht="23.25" thickTop="1" thickBot="1" x14ac:dyDescent="0.55000000000000004">
      <c r="A11" s="47" t="s">
        <v>0</v>
      </c>
      <c r="B11" s="48" t="s">
        <v>1</v>
      </c>
      <c r="C11" s="686" t="s">
        <v>29</v>
      </c>
      <c r="D11" s="687"/>
      <c r="E11" s="686" t="s">
        <v>13</v>
      </c>
      <c r="F11" s="688"/>
    </row>
    <row r="12" spans="1:6" ht="22.5" thickTop="1" x14ac:dyDescent="0.5">
      <c r="A12" s="49">
        <v>1</v>
      </c>
      <c r="B12" s="50" t="s">
        <v>135</v>
      </c>
      <c r="C12" s="690">
        <f>'ปร.5 หินคลุก)'!E28</f>
        <v>24210661.374305759</v>
      </c>
      <c r="D12" s="691"/>
      <c r="E12" s="692"/>
      <c r="F12" s="693"/>
    </row>
    <row r="13" spans="1:6" x14ac:dyDescent="0.5">
      <c r="A13" s="51"/>
      <c r="B13" s="52" t="s">
        <v>134</v>
      </c>
      <c r="C13" s="669"/>
      <c r="D13" s="670"/>
      <c r="E13" s="671"/>
      <c r="F13" s="672"/>
    </row>
    <row r="14" spans="1:6" x14ac:dyDescent="0.5">
      <c r="A14" s="51"/>
      <c r="B14" s="52"/>
      <c r="C14" s="669"/>
      <c r="D14" s="670"/>
      <c r="E14" s="671"/>
      <c r="F14" s="672"/>
    </row>
    <row r="15" spans="1:6" x14ac:dyDescent="0.5">
      <c r="A15" s="51"/>
      <c r="B15" s="52"/>
      <c r="C15" s="669"/>
      <c r="D15" s="670"/>
      <c r="E15" s="671"/>
      <c r="F15" s="672"/>
    </row>
    <row r="16" spans="1:6" x14ac:dyDescent="0.5">
      <c r="A16" s="53"/>
      <c r="B16" s="52"/>
      <c r="C16" s="671"/>
      <c r="D16" s="678"/>
      <c r="E16" s="671"/>
      <c r="F16" s="672"/>
    </row>
    <row r="17" spans="1:10" ht="22.5" thickBot="1" x14ac:dyDescent="0.55000000000000004">
      <c r="A17" s="54"/>
      <c r="B17" s="55"/>
      <c r="C17" s="679"/>
      <c r="D17" s="680"/>
      <c r="E17" s="681"/>
      <c r="F17" s="682"/>
    </row>
    <row r="18" spans="1:10" ht="23.25" thickTop="1" thickBot="1" x14ac:dyDescent="0.55000000000000004">
      <c r="A18" s="694" t="s">
        <v>30</v>
      </c>
      <c r="B18" s="56" t="s">
        <v>31</v>
      </c>
      <c r="C18" s="697">
        <f>C12</f>
        <v>24210661.374305759</v>
      </c>
      <c r="D18" s="698"/>
      <c r="E18" s="692"/>
      <c r="F18" s="693"/>
    </row>
    <row r="19" spans="1:10" ht="23.25" thickTop="1" thickBot="1" x14ac:dyDescent="0.55000000000000004">
      <c r="A19" s="695"/>
      <c r="B19" s="57"/>
      <c r="C19" s="699"/>
      <c r="D19" s="700"/>
      <c r="E19" s="681"/>
      <c r="F19" s="682"/>
    </row>
    <row r="20" spans="1:10" ht="22.5" thickTop="1" x14ac:dyDescent="0.5">
      <c r="A20" s="695"/>
      <c r="B20" s="675" t="str">
        <f>"("&amp;BAHTTEXT(C18)&amp;")"</f>
        <v>(ยี่สิบสี่ล้านสองแสนหนึ่งหมื่นหกร้อยหกสิบเอ็ดบาทสามสิบเจ็ดสตางค์)</v>
      </c>
      <c r="C20" s="676"/>
      <c r="D20" s="676"/>
      <c r="E20" s="676"/>
      <c r="F20" s="58"/>
      <c r="J20" s="97">
        <v>24210661.370000001</v>
      </c>
    </row>
    <row r="21" spans="1:10" ht="22.5" thickBot="1" x14ac:dyDescent="0.55000000000000004">
      <c r="A21" s="696"/>
      <c r="B21" s="59"/>
      <c r="C21" s="60"/>
      <c r="D21" s="60"/>
      <c r="E21" s="60"/>
      <c r="F21" s="61"/>
    </row>
    <row r="22" spans="1:10" ht="22.5" thickTop="1" x14ac:dyDescent="0.5">
      <c r="A22" s="62"/>
      <c r="B22" s="62"/>
      <c r="C22" s="62"/>
      <c r="D22" s="62"/>
      <c r="E22" s="62"/>
      <c r="F22" s="62"/>
    </row>
    <row r="23" spans="1:10" ht="24" x14ac:dyDescent="0.5">
      <c r="A23" s="590"/>
      <c r="B23" s="96"/>
      <c r="C23" s="677" t="s">
        <v>50</v>
      </c>
      <c r="D23" s="677"/>
      <c r="E23" s="677"/>
      <c r="F23" s="677"/>
      <c r="G23" s="97"/>
    </row>
    <row r="24" spans="1:10" ht="24" x14ac:dyDescent="0.55000000000000004">
      <c r="A24" s="91"/>
      <c r="B24" s="98"/>
      <c r="C24" s="677" t="s">
        <v>47</v>
      </c>
      <c r="D24" s="677"/>
      <c r="E24" s="677"/>
      <c r="F24" s="677"/>
      <c r="G24" s="97"/>
    </row>
    <row r="25" spans="1:10" s="11" customFormat="1" ht="24" x14ac:dyDescent="0.55000000000000004">
      <c r="A25" s="590" t="s">
        <v>49</v>
      </c>
      <c r="B25" s="99"/>
      <c r="C25" s="91"/>
      <c r="D25" s="674" t="s">
        <v>46</v>
      </c>
      <c r="E25" s="674"/>
      <c r="F25" s="91"/>
      <c r="G25" s="92"/>
    </row>
    <row r="26" spans="1:10" s="11" customFormat="1" ht="24" x14ac:dyDescent="0.55000000000000004">
      <c r="A26" s="591" t="s">
        <v>32</v>
      </c>
      <c r="B26" s="92"/>
      <c r="C26" s="92"/>
      <c r="D26" s="92"/>
      <c r="E26" s="673"/>
      <c r="F26" s="673"/>
      <c r="G26" s="673"/>
    </row>
    <row r="27" spans="1:10" ht="24" x14ac:dyDescent="0.55000000000000004">
      <c r="A27" s="97"/>
      <c r="B27" s="92"/>
      <c r="C27" s="92"/>
      <c r="D27" s="92"/>
      <c r="E27" s="673"/>
      <c r="F27" s="673"/>
      <c r="G27" s="673"/>
    </row>
    <row r="28" spans="1:10" x14ac:dyDescent="0.5">
      <c r="A28" s="97"/>
      <c r="B28" s="97"/>
      <c r="C28" s="97"/>
      <c r="D28" s="97"/>
      <c r="E28" s="97"/>
      <c r="F28" s="97"/>
      <c r="G28" s="97"/>
    </row>
    <row r="29" spans="1:10" x14ac:dyDescent="0.5">
      <c r="A29" s="97"/>
      <c r="B29" s="97"/>
      <c r="C29" s="97"/>
      <c r="D29" s="97"/>
      <c r="E29" s="97"/>
      <c r="F29" s="97"/>
      <c r="G29" s="97"/>
    </row>
    <row r="30" spans="1:10" x14ac:dyDescent="0.5">
      <c r="A30" s="97"/>
      <c r="B30" s="97"/>
      <c r="C30" s="97"/>
      <c r="D30" s="97"/>
      <c r="E30" s="97"/>
      <c r="F30" s="97"/>
      <c r="G30" s="97"/>
    </row>
    <row r="31" spans="1:10" x14ac:dyDescent="0.5">
      <c r="A31" s="97"/>
      <c r="B31" s="97"/>
      <c r="C31" s="97"/>
      <c r="D31" s="97"/>
      <c r="E31" s="97"/>
      <c r="F31" s="97"/>
      <c r="G31" s="97"/>
    </row>
    <row r="32" spans="1:10" x14ac:dyDescent="0.5">
      <c r="A32" s="97"/>
      <c r="B32" s="97"/>
      <c r="C32" s="97"/>
      <c r="D32" s="97"/>
      <c r="E32" s="97"/>
      <c r="F32" s="97"/>
      <c r="G32" s="97"/>
    </row>
    <row r="33" spans="1:7" x14ac:dyDescent="0.5">
      <c r="A33" s="97"/>
      <c r="B33" s="97"/>
      <c r="C33" s="97"/>
      <c r="D33" s="97"/>
      <c r="E33" s="97"/>
      <c r="F33" s="97"/>
      <c r="G33" s="97"/>
    </row>
    <row r="34" spans="1:7" x14ac:dyDescent="0.5">
      <c r="A34" s="97"/>
      <c r="B34" s="97"/>
      <c r="C34" s="97"/>
      <c r="D34" s="97"/>
      <c r="E34" s="97"/>
      <c r="F34" s="97"/>
      <c r="G34" s="97"/>
    </row>
    <row r="35" spans="1:7" x14ac:dyDescent="0.5">
      <c r="A35" s="97"/>
      <c r="B35" s="97"/>
      <c r="C35" s="97"/>
      <c r="D35" s="97"/>
      <c r="E35" s="97"/>
      <c r="F35" s="97"/>
      <c r="G35" s="97"/>
    </row>
    <row r="36" spans="1:7" x14ac:dyDescent="0.5">
      <c r="A36" s="97"/>
      <c r="B36" s="97"/>
      <c r="C36" s="97"/>
      <c r="D36" s="97"/>
      <c r="E36" s="97"/>
      <c r="F36" s="97"/>
      <c r="G36" s="97"/>
    </row>
  </sheetData>
  <mergeCells count="29">
    <mergeCell ref="A18:A21"/>
    <mergeCell ref="C18:D18"/>
    <mergeCell ref="E18:F18"/>
    <mergeCell ref="C19:D19"/>
    <mergeCell ref="E19:F19"/>
    <mergeCell ref="E13:F13"/>
    <mergeCell ref="C14:D14"/>
    <mergeCell ref="E14:F14"/>
    <mergeCell ref="C12:D12"/>
    <mergeCell ref="E12:F12"/>
    <mergeCell ref="C13:D13"/>
    <mergeCell ref="A1:F1"/>
    <mergeCell ref="A2:F2"/>
    <mergeCell ref="A10:F10"/>
    <mergeCell ref="C11:D11"/>
    <mergeCell ref="E11:F11"/>
    <mergeCell ref="A4:B4"/>
    <mergeCell ref="C15:D15"/>
    <mergeCell ref="E15:F15"/>
    <mergeCell ref="E26:G26"/>
    <mergeCell ref="E27:G27"/>
    <mergeCell ref="D25:E25"/>
    <mergeCell ref="B20:E20"/>
    <mergeCell ref="C23:F23"/>
    <mergeCell ref="C24:F24"/>
    <mergeCell ref="C16:D16"/>
    <mergeCell ref="E16:F16"/>
    <mergeCell ref="C17:D17"/>
    <mergeCell ref="E17:F1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41"/>
  <sheetViews>
    <sheetView topLeftCell="A13" zoomScaleNormal="100" zoomScaleSheetLayoutView="100" workbookViewId="0">
      <selection activeCell="I11" sqref="I11"/>
    </sheetView>
  </sheetViews>
  <sheetFormatPr defaultColWidth="9.140625" defaultRowHeight="24" x14ac:dyDescent="0.55000000000000004"/>
  <cols>
    <col min="1" max="1" width="7" style="1" customWidth="1"/>
    <col min="2" max="2" width="32.7109375" style="1" customWidth="1"/>
    <col min="3" max="3" width="18.5703125" style="1" customWidth="1"/>
    <col min="4" max="4" width="16.7109375" style="1" customWidth="1"/>
    <col min="5" max="5" width="18" style="1" customWidth="1"/>
    <col min="6" max="6" width="12.140625" style="1" customWidth="1"/>
    <col min="7" max="7" width="29.5703125" style="1" customWidth="1"/>
    <col min="8" max="8" width="9.7109375" style="1" customWidth="1"/>
    <col min="9" max="9" width="15.28515625" style="1" bestFit="1" customWidth="1"/>
    <col min="10" max="16384" width="9.140625" style="1"/>
  </cols>
  <sheetData>
    <row r="1" spans="1:19" x14ac:dyDescent="0.55000000000000004">
      <c r="E1" s="702" t="s">
        <v>22</v>
      </c>
      <c r="F1" s="702"/>
      <c r="G1" s="702"/>
    </row>
    <row r="2" spans="1:19" x14ac:dyDescent="0.55000000000000004">
      <c r="A2" s="705" t="s">
        <v>20</v>
      </c>
      <c r="B2" s="705"/>
      <c r="C2" s="705"/>
      <c r="D2" s="705"/>
      <c r="E2" s="705"/>
      <c r="F2" s="705"/>
      <c r="G2" s="705"/>
    </row>
    <row r="3" spans="1:19" x14ac:dyDescent="0.55000000000000004">
      <c r="A3" s="12" t="s">
        <v>65</v>
      </c>
      <c r="B3" s="13"/>
      <c r="C3" s="13"/>
      <c r="D3" s="13"/>
      <c r="E3" s="14"/>
      <c r="F3" s="14"/>
      <c r="G3" s="15"/>
      <c r="H3" s="4"/>
      <c r="I3" s="4"/>
    </row>
    <row r="4" spans="1:19" x14ac:dyDescent="0.55000000000000004">
      <c r="A4" s="16" t="s">
        <v>66</v>
      </c>
      <c r="B4" s="17"/>
      <c r="C4" s="17"/>
      <c r="D4" s="17"/>
      <c r="E4" s="17"/>
      <c r="F4" s="17"/>
      <c r="G4" s="18"/>
      <c r="H4" s="4"/>
      <c r="I4" s="4"/>
    </row>
    <row r="5" spans="1:19" x14ac:dyDescent="0.55000000000000004">
      <c r="A5" s="706" t="s">
        <v>51</v>
      </c>
      <c r="B5" s="706"/>
      <c r="C5" s="706"/>
      <c r="D5" s="706"/>
      <c r="E5" s="706"/>
      <c r="F5" s="707"/>
      <c r="G5" s="707"/>
      <c r="H5" s="4"/>
      <c r="I5" s="4"/>
    </row>
    <row r="6" spans="1:19" x14ac:dyDescent="0.55000000000000004">
      <c r="A6" s="708" t="s">
        <v>18</v>
      </c>
      <c r="B6" s="706"/>
      <c r="C6" s="706"/>
      <c r="D6" s="706"/>
      <c r="E6" s="16"/>
      <c r="F6" s="40"/>
      <c r="G6" s="40"/>
      <c r="H6" s="4"/>
      <c r="I6" s="4"/>
      <c r="N6" s="3"/>
      <c r="O6" s="3"/>
      <c r="P6" s="3"/>
      <c r="Q6" s="3"/>
      <c r="R6" s="3"/>
      <c r="S6" s="3"/>
    </row>
    <row r="7" spans="1:19" x14ac:dyDescent="0.55000000000000004">
      <c r="A7" s="19" t="s">
        <v>52</v>
      </c>
      <c r="B7" s="17"/>
      <c r="C7" s="17"/>
      <c r="D7" s="17"/>
      <c r="E7" s="16"/>
      <c r="F7" s="40"/>
      <c r="G7" s="40"/>
      <c r="H7" s="4"/>
      <c r="I7" s="4"/>
      <c r="N7" s="3"/>
      <c r="O7" s="3"/>
      <c r="P7" s="3"/>
      <c r="Q7" s="3"/>
      <c r="R7" s="3"/>
      <c r="S7" s="3"/>
    </row>
    <row r="8" spans="1:19" x14ac:dyDescent="0.55000000000000004">
      <c r="A8" s="20" t="s">
        <v>133</v>
      </c>
      <c r="B8" s="16"/>
      <c r="C8" s="16"/>
      <c r="D8" s="16"/>
      <c r="E8" s="16"/>
      <c r="F8" s="40"/>
      <c r="G8" s="40"/>
      <c r="H8" s="4"/>
      <c r="I8" s="4"/>
      <c r="N8" s="3"/>
      <c r="O8" s="3"/>
      <c r="P8" s="3"/>
      <c r="Q8" s="3"/>
      <c r="R8" s="3"/>
      <c r="S8" s="3"/>
    </row>
    <row r="9" spans="1:19" x14ac:dyDescent="0.55000000000000004">
      <c r="A9" s="709" t="s">
        <v>119</v>
      </c>
      <c r="B9" s="706"/>
      <c r="C9" s="706"/>
      <c r="D9" s="706"/>
      <c r="E9" s="21"/>
      <c r="F9" s="24"/>
      <c r="G9" s="40"/>
      <c r="H9" s="4"/>
      <c r="I9" s="4"/>
      <c r="P9" s="2"/>
      <c r="Q9" s="2"/>
    </row>
    <row r="10" spans="1:19" x14ac:dyDescent="0.55000000000000004">
      <c r="A10" s="22"/>
      <c r="B10" s="23"/>
      <c r="C10" s="23"/>
      <c r="D10" s="23"/>
      <c r="E10" s="24"/>
      <c r="F10" s="24"/>
      <c r="G10" s="93" t="s">
        <v>16</v>
      </c>
      <c r="H10" s="4"/>
      <c r="I10" s="4"/>
      <c r="P10" s="2"/>
      <c r="Q10" s="2"/>
    </row>
    <row r="11" spans="1:19" x14ac:dyDescent="0.55000000000000004">
      <c r="A11" s="715" t="s">
        <v>0</v>
      </c>
      <c r="B11" s="715" t="s">
        <v>1</v>
      </c>
      <c r="C11" s="715" t="s">
        <v>12</v>
      </c>
      <c r="D11" s="715" t="s">
        <v>14</v>
      </c>
      <c r="E11" s="715" t="s">
        <v>11</v>
      </c>
      <c r="F11" s="715" t="s">
        <v>142</v>
      </c>
      <c r="G11" s="107" t="s">
        <v>144</v>
      </c>
      <c r="H11" s="4"/>
      <c r="I11" s="4"/>
      <c r="P11" s="2"/>
      <c r="Q11" s="2"/>
    </row>
    <row r="12" spans="1:19" ht="24.75" thickBot="1" x14ac:dyDescent="0.6">
      <c r="A12" s="716"/>
      <c r="B12" s="716"/>
      <c r="C12" s="716"/>
      <c r="D12" s="716"/>
      <c r="E12" s="716"/>
      <c r="F12" s="716"/>
      <c r="G12" s="106" t="s">
        <v>143</v>
      </c>
    </row>
    <row r="13" spans="1:19" ht="24.75" thickTop="1" x14ac:dyDescent="0.55000000000000004">
      <c r="A13" s="86">
        <v>1</v>
      </c>
      <c r="B13" s="87" t="s">
        <v>138</v>
      </c>
      <c r="C13" s="85" t="e">
        <f>' ปร.4 ลุกรัง'!I23+' ปร.4 ลุกรัง'!I31+' ปร.4 ลุกรัง'!#REF!+' ปร.4 ลุกรัง'!I39</f>
        <v>#REF!</v>
      </c>
      <c r="D13" s="88">
        <v>1.2549999999999999</v>
      </c>
      <c r="E13" s="89" t="e">
        <f>C13*D13</f>
        <v>#REF!</v>
      </c>
      <c r="F13" s="90" t="e">
        <f>E13*100/E18</f>
        <v>#REF!</v>
      </c>
      <c r="G13" s="713">
        <v>500</v>
      </c>
    </row>
    <row r="14" spans="1:19" x14ac:dyDescent="0.55000000000000004">
      <c r="A14" s="25">
        <v>2</v>
      </c>
      <c r="B14" s="43" t="s">
        <v>139</v>
      </c>
      <c r="C14" s="78">
        <f>' ปร.4 ลุกรัง'!I48+' ปร.4 ลุกรัง'!I59+' ปร.4 ลุกรัง'!I67+' ปร.4 ลุกรัง'!M141+' ปร.4 ลุกรัง'!I200</f>
        <v>2686264.6570579037</v>
      </c>
      <c r="D14" s="88">
        <v>1.2549999999999999</v>
      </c>
      <c r="E14" s="27">
        <f>C14*D14</f>
        <v>3371262.1446076687</v>
      </c>
      <c r="F14" s="90" t="e">
        <f>E14*100/E18</f>
        <v>#REF!</v>
      </c>
      <c r="G14" s="714"/>
    </row>
    <row r="15" spans="1:19" x14ac:dyDescent="0.55000000000000004">
      <c r="A15" s="25">
        <v>3</v>
      </c>
      <c r="B15" s="43" t="s">
        <v>140</v>
      </c>
      <c r="C15" s="78">
        <f>' ปร.4 ลุกรัง'!I231</f>
        <v>1661300</v>
      </c>
      <c r="D15" s="88">
        <v>1.2549999999999999</v>
      </c>
      <c r="E15" s="27">
        <f>C15*D15</f>
        <v>2084931.4999999998</v>
      </c>
      <c r="F15" s="90" t="e">
        <f>E15*100/E18</f>
        <v>#REF!</v>
      </c>
      <c r="G15" s="28">
        <v>250</v>
      </c>
    </row>
    <row r="16" spans="1:19" x14ac:dyDescent="0.55000000000000004">
      <c r="A16" s="25">
        <v>4</v>
      </c>
      <c r="B16" s="43" t="s">
        <v>141</v>
      </c>
      <c r="C16" s="78">
        <f>' ปร.4 ลุกรัง'!M203</f>
        <v>49078.400000000001</v>
      </c>
      <c r="D16" s="88">
        <v>1.2549999999999999</v>
      </c>
      <c r="E16" s="27">
        <f>C16*D16</f>
        <v>61593.392</v>
      </c>
      <c r="F16" s="90" t="e">
        <f>E16*100/E18</f>
        <v>#REF!</v>
      </c>
      <c r="G16" s="28">
        <v>100</v>
      </c>
    </row>
    <row r="17" spans="1:17" x14ac:dyDescent="0.55000000000000004">
      <c r="A17" s="25"/>
      <c r="B17" s="43"/>
      <c r="C17" s="27"/>
      <c r="D17" s="26"/>
      <c r="E17" s="27"/>
      <c r="F17" s="28"/>
      <c r="G17" s="28"/>
      <c r="I17" s="76" t="e">
        <f>E17+E18</f>
        <v>#REF!</v>
      </c>
    </row>
    <row r="18" spans="1:17" x14ac:dyDescent="0.55000000000000004">
      <c r="A18" s="25"/>
      <c r="B18" s="103" t="s">
        <v>131</v>
      </c>
      <c r="C18" s="73" t="e">
        <f>SUM(C13:C17)</f>
        <v>#REF!</v>
      </c>
      <c r="D18" s="80"/>
      <c r="E18" s="73" t="e">
        <f>SUM(E13:E17)</f>
        <v>#REF!</v>
      </c>
      <c r="F18" s="104" t="e">
        <f>SUM(F13:F17)</f>
        <v>#REF!</v>
      </c>
      <c r="G18" s="104"/>
    </row>
    <row r="19" spans="1:17" x14ac:dyDescent="0.55000000000000004">
      <c r="A19" s="83"/>
      <c r="B19" s="77"/>
      <c r="C19" s="84"/>
      <c r="D19" s="26"/>
      <c r="E19" s="27"/>
      <c r="F19" s="27"/>
      <c r="G19" s="28"/>
    </row>
    <row r="20" spans="1:17" x14ac:dyDescent="0.55000000000000004">
      <c r="A20" s="25"/>
      <c r="B20" s="43"/>
      <c r="C20" s="27"/>
      <c r="D20" s="26"/>
      <c r="E20" s="27"/>
      <c r="F20" s="27"/>
      <c r="G20" s="28"/>
    </row>
    <row r="21" spans="1:17" x14ac:dyDescent="0.55000000000000004">
      <c r="A21" s="25"/>
      <c r="B21" s="43"/>
      <c r="C21" s="27"/>
      <c r="D21" s="26"/>
      <c r="E21" s="27"/>
      <c r="F21" s="27"/>
      <c r="G21" s="28"/>
    </row>
    <row r="22" spans="1:17" x14ac:dyDescent="0.55000000000000004">
      <c r="A22" s="25"/>
      <c r="B22" s="43"/>
      <c r="C22" s="73"/>
      <c r="D22" s="80"/>
      <c r="E22" s="79"/>
      <c r="F22" s="79"/>
      <c r="G22" s="28"/>
      <c r="I22" s="94" t="e">
        <f>#REF!+#REF!</f>
        <v>#REF!</v>
      </c>
    </row>
    <row r="23" spans="1:17" x14ac:dyDescent="0.55000000000000004">
      <c r="A23" s="25"/>
      <c r="B23" s="30" t="s">
        <v>17</v>
      </c>
      <c r="D23" s="26"/>
      <c r="E23" s="27"/>
      <c r="F23" s="27"/>
      <c r="G23" s="28"/>
    </row>
    <row r="24" spans="1:17" x14ac:dyDescent="0.55000000000000004">
      <c r="A24" s="25"/>
      <c r="B24" s="31" t="s">
        <v>136</v>
      </c>
      <c r="C24" s="29"/>
      <c r="D24" s="26"/>
      <c r="E24" s="27"/>
      <c r="F24" s="27"/>
      <c r="G24" s="28"/>
      <c r="I24" s="81">
        <v>23829700</v>
      </c>
    </row>
    <row r="25" spans="1:17" x14ac:dyDescent="0.55000000000000004">
      <c r="A25" s="25"/>
      <c r="B25" s="31" t="s">
        <v>137</v>
      </c>
      <c r="C25" s="29"/>
      <c r="D25" s="26"/>
      <c r="E25" s="27"/>
      <c r="F25" s="27"/>
      <c r="G25" s="28"/>
    </row>
    <row r="26" spans="1:17" x14ac:dyDescent="0.55000000000000004">
      <c r="A26" s="25"/>
      <c r="B26" s="31" t="s">
        <v>54</v>
      </c>
      <c r="C26" s="29"/>
      <c r="D26" s="26"/>
      <c r="E26" s="27"/>
      <c r="F26" s="27"/>
      <c r="G26" s="28"/>
      <c r="I26" s="82">
        <f>E22-I24</f>
        <v>-23829700</v>
      </c>
      <c r="J26" s="95" t="s">
        <v>132</v>
      </c>
    </row>
    <row r="27" spans="1:17" ht="24.75" thickBot="1" x14ac:dyDescent="0.6">
      <c r="A27" s="25"/>
      <c r="B27" s="32" t="s">
        <v>21</v>
      </c>
      <c r="C27" s="27"/>
      <c r="D27" s="26"/>
      <c r="E27" s="27"/>
      <c r="F27" s="27"/>
      <c r="G27" s="33"/>
    </row>
    <row r="28" spans="1:17" ht="25.5" thickTop="1" thickBot="1" x14ac:dyDescent="0.6">
      <c r="A28" s="34"/>
      <c r="B28" s="35"/>
      <c r="C28" s="36"/>
      <c r="D28" s="34"/>
      <c r="E28" s="37"/>
      <c r="F28" s="37"/>
      <c r="G28" s="34"/>
      <c r="Q28" s="5"/>
    </row>
    <row r="29" spans="1:17" ht="25.5" thickTop="1" thickBot="1" x14ac:dyDescent="0.6">
      <c r="A29" s="710" t="s">
        <v>15</v>
      </c>
      <c r="B29" s="711"/>
      <c r="C29" s="711"/>
      <c r="D29" s="712"/>
      <c r="E29" s="38">
        <f>SUM(E22:E28)</f>
        <v>0</v>
      </c>
      <c r="F29" s="105"/>
      <c r="G29" s="39"/>
    </row>
    <row r="30" spans="1:17" ht="24.75" thickTop="1" x14ac:dyDescent="0.55000000000000004">
      <c r="A30" s="4"/>
      <c r="B30" s="4"/>
      <c r="C30" s="4"/>
      <c r="D30" s="4"/>
      <c r="E30" s="6"/>
      <c r="F30" s="6"/>
      <c r="G30" s="72"/>
    </row>
    <row r="31" spans="1:17" x14ac:dyDescent="0.55000000000000004">
      <c r="A31" s="702" t="s">
        <v>48</v>
      </c>
      <c r="B31" s="702"/>
      <c r="C31" s="40"/>
      <c r="D31" s="41" t="s">
        <v>33</v>
      </c>
      <c r="E31" s="42">
        <f>E29/8100</f>
        <v>0</v>
      </c>
      <c r="F31" s="42"/>
      <c r="G31" s="40" t="s">
        <v>34</v>
      </c>
    </row>
    <row r="32" spans="1:17" x14ac:dyDescent="0.55000000000000004">
      <c r="A32" s="40"/>
      <c r="B32" s="40"/>
      <c r="C32" s="40"/>
      <c r="D32" s="40"/>
      <c r="E32" s="40"/>
      <c r="F32" s="40"/>
      <c r="G32" s="40"/>
    </row>
    <row r="33" spans="1:7" x14ac:dyDescent="0.55000000000000004">
      <c r="A33" s="40"/>
      <c r="B33" s="91"/>
      <c r="C33" s="91"/>
      <c r="D33" s="91"/>
      <c r="E33" s="91"/>
      <c r="F33" s="91"/>
      <c r="G33" s="40"/>
    </row>
    <row r="34" spans="1:7" x14ac:dyDescent="0.55000000000000004">
      <c r="A34" s="40"/>
      <c r="B34" s="91"/>
      <c r="C34" s="703" t="s">
        <v>45</v>
      </c>
      <c r="D34" s="703"/>
      <c r="E34" s="703"/>
      <c r="F34" s="101"/>
      <c r="G34" s="40"/>
    </row>
    <row r="35" spans="1:7" x14ac:dyDescent="0.55000000000000004">
      <c r="A35" s="24"/>
      <c r="B35" s="100"/>
      <c r="C35" s="703" t="s">
        <v>120</v>
      </c>
      <c r="D35" s="703"/>
      <c r="E35" s="703"/>
      <c r="F35" s="101"/>
      <c r="G35" s="24"/>
    </row>
    <row r="36" spans="1:7" x14ac:dyDescent="0.55000000000000004">
      <c r="B36" s="92"/>
      <c r="C36" s="92"/>
      <c r="D36" s="92"/>
      <c r="E36" s="92"/>
      <c r="F36" s="92"/>
    </row>
    <row r="37" spans="1:7" x14ac:dyDescent="0.55000000000000004">
      <c r="B37" s="92"/>
      <c r="C37" s="704"/>
      <c r="D37" s="704"/>
      <c r="E37" s="704"/>
      <c r="F37" s="102"/>
    </row>
    <row r="38" spans="1:7" x14ac:dyDescent="0.55000000000000004">
      <c r="C38" s="701"/>
      <c r="D38" s="701"/>
      <c r="E38" s="701"/>
      <c r="F38" s="3"/>
    </row>
    <row r="40" spans="1:7" x14ac:dyDescent="0.55000000000000004">
      <c r="C40" s="701"/>
      <c r="D40" s="701"/>
      <c r="E40" s="701"/>
      <c r="F40" s="3"/>
    </row>
    <row r="41" spans="1:7" x14ac:dyDescent="0.55000000000000004">
      <c r="C41" s="701"/>
      <c r="D41" s="701"/>
      <c r="E41" s="701"/>
      <c r="F41" s="3"/>
    </row>
  </sheetData>
  <mergeCells count="20">
    <mergeCell ref="A29:D29"/>
    <mergeCell ref="G13:G14"/>
    <mergeCell ref="A11:A12"/>
    <mergeCell ref="B11:B12"/>
    <mergeCell ref="C11:C12"/>
    <mergeCell ref="D11:D12"/>
    <mergeCell ref="E11:E12"/>
    <mergeCell ref="F11:F12"/>
    <mergeCell ref="E1:G1"/>
    <mergeCell ref="A2:G2"/>
    <mergeCell ref="A5:G5"/>
    <mergeCell ref="A6:D6"/>
    <mergeCell ref="A9:D9"/>
    <mergeCell ref="C41:E41"/>
    <mergeCell ref="A31:B31"/>
    <mergeCell ref="C34:E34"/>
    <mergeCell ref="C35:E35"/>
    <mergeCell ref="C37:E37"/>
    <mergeCell ref="C38:E38"/>
    <mergeCell ref="C40:E40"/>
  </mergeCells>
  <pageMargins left="0.33" right="0" top="0.62" bottom="0.196850393700787" header="0.53" footer="0.511811023622047"/>
  <pageSetup paperSize="9"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971B396B29342A3B72113B96C2E4F" ma:contentTypeVersion="11" ma:contentTypeDescription="Create a new document." ma:contentTypeScope="" ma:versionID="7bd189f72af89202959e7d01b0595c1f">
  <xsd:schema xmlns:xsd="http://www.w3.org/2001/XMLSchema" xmlns:xs="http://www.w3.org/2001/XMLSchema" xmlns:p="http://schemas.microsoft.com/office/2006/metadata/properties" xmlns:ns2="1bd7a0cd-9445-4644-8d46-c863fbe2a791" xmlns:ns3="a338dd69-07b6-40d3-8b4c-0cdf0eeb6e2a" targetNamespace="http://schemas.microsoft.com/office/2006/metadata/properties" ma:root="true" ma:fieldsID="710d2a1465d5400a5b98c46746edbe44" ns2:_="" ns3:_="">
    <xsd:import namespace="1bd7a0cd-9445-4644-8d46-c863fbe2a791"/>
    <xsd:import namespace="a338dd69-07b6-40d3-8b4c-0cdf0eeb6e2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7a0cd-9445-4644-8d46-c863fbe2a7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eabe33bc-03f9-449f-9365-9a9bae0bf687}" ma:internalName="TaxCatchAll" ma:showField="CatchAllData" ma:web="1bd7a0cd-9445-4644-8d46-c863fbe2a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8dd69-07b6-40d3-8b4c-0cdf0eeb6e2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a4cd4f7-e6ad-4398-b872-2278dd671a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d7a0cd-9445-4644-8d46-c863fbe2a791"/>
    <lcf76f155ced4ddcb4097134ff3c332f xmlns="a338dd69-07b6-40d3-8b4c-0cdf0eeb6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9518A9-F761-44AD-A362-229E1C5C1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7a0cd-9445-4644-8d46-c863fbe2a791"/>
    <ds:schemaRef ds:uri="a338dd69-07b6-40d3-8b4c-0cdf0eeb6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BCF3E3-BAB7-41EC-A609-132B55E3F5AD}">
  <ds:schemaRefs>
    <ds:schemaRef ds:uri="1bd7a0cd-9445-4644-8d46-c863fbe2a791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338dd69-07b6-40d3-8b4c-0cdf0eeb6e2a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8E53C1-5C6D-4FDF-AAD9-468A9FB862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 ปร.4 ลุกรัง</vt:lpstr>
      <vt:lpstr> ปร.4 หินคลุก</vt:lpstr>
      <vt:lpstr> ปร.4  (3)</vt:lpstr>
      <vt:lpstr>ปร.5 หินคลุก)</vt:lpstr>
      <vt:lpstr>ปร.5 (ลูกรัง)</vt:lpstr>
      <vt:lpstr>ปร.5</vt:lpstr>
      <vt:lpstr> ปร.4  เดิม</vt:lpstr>
      <vt:lpstr>ปร.6</vt:lpstr>
      <vt:lpstr>ปร.5 (2)</vt:lpstr>
      <vt:lpstr>วงเงินงวด</vt:lpstr>
      <vt:lpstr>ปร.5!Print_Area</vt:lpstr>
      <vt:lpstr>'ปร.5 (2)'!Print_Area</vt:lpstr>
      <vt:lpstr>'ปร.5 (ลูกรัง)'!Print_Area</vt:lpstr>
      <vt:lpstr>'ปร.5 หินคลุก)'!Print_Area</vt:lpstr>
      <vt:lpstr>' ปร.4  (3)'!Print_Titles</vt:lpstr>
      <vt:lpstr>' ปร.4  เดิม'!Print_Titles</vt:lpstr>
      <vt:lpstr>' ปร.4 ลุกรัง'!Print_Titles</vt:lpstr>
      <vt:lpstr>' ปร.4 หินคลุก'!Print_Titles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PP01</cp:lastModifiedBy>
  <cp:lastPrinted>2026-01-09T09:00:50Z</cp:lastPrinted>
  <dcterms:created xsi:type="dcterms:W3CDTF">2005-01-22T14:11:15Z</dcterms:created>
  <dcterms:modified xsi:type="dcterms:W3CDTF">2026-01-27T07:39:42Z</dcterms:modified>
</cp:coreProperties>
</file>